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I კვარტალი 2013 " sheetId="1" r:id="rId1"/>
    <sheet name="Sheet1" sheetId="4" r:id="rId2"/>
  </sheets>
  <calcPr calcId="124519"/>
</workbook>
</file>

<file path=xl/calcChain.xml><?xml version="1.0" encoding="utf-8"?>
<calcChain xmlns="http://schemas.openxmlformats.org/spreadsheetml/2006/main">
  <c r="G319" i="4"/>
  <c r="G318"/>
  <c r="G317"/>
  <c r="G314"/>
  <c r="G313"/>
  <c r="G312"/>
  <c r="G307"/>
  <c r="G303"/>
  <c r="G302"/>
  <c r="G301"/>
  <c r="G300"/>
  <c r="G299"/>
  <c r="G298"/>
  <c r="G297"/>
  <c r="G296"/>
  <c r="G295"/>
  <c r="G294"/>
  <c r="G293"/>
  <c r="G292"/>
  <c r="G291"/>
  <c r="G289"/>
  <c r="G288"/>
  <c r="G287"/>
  <c r="G285"/>
  <c r="G284"/>
  <c r="G283"/>
  <c r="G282"/>
  <c r="G281"/>
  <c r="G280"/>
  <c r="G279"/>
  <c r="G278"/>
  <c r="G277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5"/>
  <c r="G224"/>
  <c r="G222"/>
  <c r="G221"/>
  <c r="G220"/>
  <c r="G219"/>
  <c r="G218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5"/>
  <c r="G184"/>
  <c r="G183"/>
  <c r="G182"/>
  <c r="G181"/>
  <c r="G180"/>
  <c r="G179"/>
  <c r="G178"/>
  <c r="G177"/>
  <c r="G176"/>
  <c r="G175"/>
  <c r="G173"/>
  <c r="G172"/>
  <c r="G171"/>
  <c r="G170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4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8"/>
  <c r="G107"/>
  <c r="G106"/>
  <c r="G105"/>
  <c r="G104"/>
  <c r="G103"/>
  <c r="G102"/>
  <c r="G101"/>
  <c r="G100"/>
  <c r="G99"/>
  <c r="G98"/>
  <c r="G97"/>
  <c r="G96"/>
  <c r="G95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4"/>
  <c r="G23"/>
  <c r="G22"/>
  <c r="G21"/>
  <c r="G20"/>
  <c r="G19"/>
  <c r="G18"/>
  <c r="G17"/>
  <c r="G16"/>
  <c r="G14"/>
  <c r="G13"/>
  <c r="G12"/>
  <c r="G11"/>
  <c r="G10"/>
  <c r="G9"/>
  <c r="G8"/>
  <c r="G7"/>
  <c r="G6"/>
  <c r="G5"/>
  <c r="G4"/>
  <c r="M317"/>
  <c r="M318"/>
  <c r="M319"/>
  <c r="M314"/>
  <c r="M313"/>
  <c r="M312"/>
  <c r="M307"/>
  <c r="M303"/>
  <c r="M302"/>
  <c r="M301"/>
  <c r="M300"/>
  <c r="M299"/>
  <c r="M298"/>
  <c r="M297"/>
  <c r="M295"/>
  <c r="M296" l="1"/>
  <c r="M294"/>
  <c r="M293"/>
  <c r="M292"/>
  <c r="M291"/>
  <c r="M289"/>
  <c r="M288"/>
  <c r="M287"/>
  <c r="M285"/>
  <c r="M284"/>
  <c r="M283"/>
  <c r="M282"/>
  <c r="M281"/>
  <c r="M280"/>
  <c r="M278"/>
  <c r="M279"/>
  <c r="M277"/>
  <c r="M275"/>
  <c r="M273"/>
  <c r="M274"/>
  <c r="M272"/>
  <c r="M271"/>
  <c r="M270"/>
  <c r="M269"/>
  <c r="M268"/>
  <c r="M267"/>
  <c r="M266"/>
  <c r="M265"/>
  <c r="M264"/>
  <c r="M263"/>
  <c r="M262"/>
  <c r="M261"/>
  <c r="M258"/>
  <c r="M260"/>
  <c r="M259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2"/>
  <c r="M231"/>
  <c r="M237"/>
  <c r="M239"/>
  <c r="M238"/>
  <c r="M236"/>
  <c r="M235"/>
  <c r="M234"/>
  <c r="M233"/>
  <c r="M230"/>
  <c r="M229"/>
  <c r="M228"/>
  <c r="M225"/>
  <c r="M224"/>
  <c r="M222"/>
  <c r="M221"/>
  <c r="M220"/>
  <c r="M219"/>
  <c r="M218"/>
  <c r="M216"/>
  <c r="M215"/>
  <c r="M214"/>
  <c r="M213"/>
  <c r="M212"/>
  <c r="M211"/>
  <c r="M210"/>
  <c r="M209"/>
  <c r="M207"/>
  <c r="M208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5"/>
  <c r="M184"/>
  <c r="M183"/>
  <c r="M182"/>
  <c r="M181"/>
  <c r="M180"/>
  <c r="M179"/>
  <c r="M178"/>
  <c r="M177"/>
  <c r="M176"/>
  <c r="M171"/>
  <c r="M170"/>
  <c r="M175"/>
  <c r="M173"/>
  <c r="M172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4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8"/>
  <c r="M107"/>
  <c r="M106"/>
  <c r="M105"/>
  <c r="M104"/>
  <c r="M103"/>
  <c r="M102"/>
  <c r="M101"/>
  <c r="M100"/>
  <c r="M99"/>
  <c r="M98"/>
  <c r="M97"/>
  <c r="M96"/>
  <c r="M95"/>
  <c r="M93"/>
  <c r="M92"/>
  <c r="M91"/>
  <c r="M90"/>
  <c r="M89"/>
  <c r="M88"/>
  <c r="M87"/>
  <c r="M85"/>
  <c r="M86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58"/>
  <c r="M57"/>
  <c r="M60"/>
  <c r="M59"/>
  <c r="M56"/>
  <c r="M55"/>
  <c r="M54"/>
  <c r="M53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4"/>
  <c r="M23"/>
  <c r="M22"/>
  <c r="M21"/>
  <c r="M20"/>
  <c r="M19"/>
  <c r="M18"/>
  <c r="M17"/>
  <c r="M16"/>
  <c r="M14"/>
  <c r="M13"/>
  <c r="M12"/>
  <c r="M11"/>
  <c r="M10"/>
  <c r="M9"/>
  <c r="M8"/>
  <c r="M7"/>
  <c r="M6"/>
  <c r="M5"/>
  <c r="M4"/>
  <c r="D68"/>
  <c r="H73" i="1"/>
  <c r="H75"/>
  <c r="H79"/>
  <c r="H76"/>
  <c r="H74"/>
  <c r="H72"/>
  <c r="H70"/>
  <c r="H68"/>
  <c r="H67"/>
  <c r="H66"/>
  <c r="H65"/>
  <c r="H64"/>
  <c r="H63"/>
  <c r="H62"/>
  <c r="H61"/>
  <c r="H58"/>
  <c r="H57"/>
  <c r="H56"/>
  <c r="H55"/>
  <c r="H54"/>
  <c r="H53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H6"/>
  <c r="H9"/>
  <c r="H8"/>
  <c r="H4"/>
  <c r="H5"/>
  <c r="D68"/>
  <c r="D3" s="1"/>
</calcChain>
</file>

<file path=xl/sharedStrings.xml><?xml version="1.0" encoding="utf-8"?>
<sst xmlns="http://schemas.openxmlformats.org/spreadsheetml/2006/main" count="1785" uniqueCount="414">
  <si>
    <r>
      <rPr>
        <b/>
        <sz val="14"/>
        <rFont val="Sylfaen"/>
        <family val="1"/>
        <charset val="204"/>
      </rPr>
      <t xml:space="preserve">სიიპ საქართველოს ტურიზმის ეროვნული ადმინისტრაცია              </t>
    </r>
    <r>
      <rPr>
        <b/>
        <sz val="12"/>
        <rFont val="Sylfaen"/>
        <family val="1"/>
      </rPr>
      <t xml:space="preserve">                                                                              2013 წელს გაფორმებული სახელმწიფო შესყიდვების ხელშეკრულებათა რეესტრი I კვარტალი</t>
    </r>
  </si>
  <si>
    <t>#</t>
  </si>
  <si>
    <t>ორგანიზაციის დასახელება</t>
  </si>
  <si>
    <t>ხელშეკრულების საგანი</t>
  </si>
  <si>
    <t>ღირებულება</t>
  </si>
  <si>
    <t>შესყიდვის საშუალება</t>
  </si>
  <si>
    <t>ტენდერის ნომერი</t>
  </si>
  <si>
    <t>შენიშვნა</t>
  </si>
  <si>
    <t>შპს ''ჰიდონი''</t>
  </si>
  <si>
    <t>დასუფთავება და სანიტარული ღონისძიებები</t>
  </si>
  <si>
    <t>გ.ე.ტ</t>
  </si>
  <si>
    <t>SPA 120027388</t>
  </si>
  <si>
    <t>შპს ''დაცვის სამსახური მგლები''</t>
  </si>
  <si>
    <t>უსაფრთხოებასთან დაკავშირებული მომსახურებები</t>
  </si>
  <si>
    <t>SPA 120027391</t>
  </si>
  <si>
    <t>სს "გლობალ ერთი''</t>
  </si>
  <si>
    <t>სატელეკომუნიკაციო მომსახურებები</t>
  </si>
  <si>
    <t>SPA 120027514</t>
  </si>
  <si>
    <t>სს "ინფოჯორჯია XXI''</t>
  </si>
  <si>
    <t>საინფორმაციო სერვისის დამატებითი მომსახურებები</t>
  </si>
  <si>
    <t>SPA 120028133</t>
  </si>
  <si>
    <t>შპს "თეგეტა მოტორსი''</t>
  </si>
  <si>
    <t>სატრანსპორტო საშუალებების და მასთან დაკავშირებული მოწყობილობების შეკეთება (სათადარიგო ნაწილების გათვალისწინებით) და ტექნიკური მომსახურება, რეცხვის ტალონები</t>
  </si>
  <si>
    <t>SPA 120028159</t>
  </si>
  <si>
    <t>სს "სილქნეტი''</t>
  </si>
  <si>
    <t>SPA 120028132</t>
  </si>
  <si>
    <t>ინტერნეტ მომსახურება</t>
  </si>
  <si>
    <t>გ.შ</t>
  </si>
  <si>
    <r>
      <t>'სახელმწიფო შესყიდვების შესახებ'' საქართველოს კანონის მე-10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განკარგულება  #1805   26.09.2012</t>
    </r>
  </si>
  <si>
    <t>შპს "დელტა-ნეტი''</t>
  </si>
  <si>
    <t>პროვაიდერული მომსახურებები</t>
  </si>
  <si>
    <r>
      <t>საქართველოს კანონი სახელმწიფო შესყიდვების შესახებ, მე-3 მუხლის 1  პუნქტის "ს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" ქვეპუნქტი </t>
    </r>
  </si>
  <si>
    <t>შპს "მაგთიკომი''</t>
  </si>
  <si>
    <t>ფიჭური კავშირგაბმულობა</t>
  </si>
  <si>
    <r>
      <t>'სახელმწიფო შესყიდვების შესახებ'' საქართველოს კანონის მე-10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განკარგულება  #2045  24.12.2012</t>
    </r>
  </si>
  <si>
    <t>შპს "სი-ტი პარკ"</t>
  </si>
  <si>
    <t>პარკინგის მომსახურება</t>
  </si>
  <si>
    <t>ი.მ. ირაკლი მარგველაშვილი</t>
  </si>
  <si>
    <t>ტელესაკომუნიკაციო ქსელის მომსახურება</t>
  </si>
  <si>
    <t>სს "სადაზღვევო კომპანია ალდაგი ბისიაი''</t>
  </si>
  <si>
    <t>ა/მანქანის დაზღვევა</t>
  </si>
  <si>
    <t>ARABESQUE EXHIBITION SUPPLIES TRADING</t>
  </si>
  <si>
    <t>თურქეთის საგამოფენო სტენდი</t>
  </si>
  <si>
    <r>
      <t>'სახელმწიფო შესყიდვების შესახებ'' საქართველოს კანონის მე-10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განკარგულება  #2085  28.12.2012</t>
    </r>
  </si>
  <si>
    <t>შპს "ჯეოლენდი''</t>
  </si>
  <si>
    <t>ტურისტული რესურსების სივრცითი მართვის სისტემის პროგრამული უზრუნველყოფის ტექნიკური მხარდაჭერა</t>
  </si>
  <si>
    <t>SPA130000769</t>
  </si>
  <si>
    <t>შპს "აქვა გეო"</t>
  </si>
  <si>
    <t>სასმელი წყლის შესყიდვა</t>
  </si>
  <si>
    <t>შპს "სი თი აუტო''</t>
  </si>
  <si>
    <t>ტრანსპორტით მომსახურება</t>
  </si>
  <si>
    <r>
      <t xml:space="preserve">საქართველოს კანონი სახელმწიფო შესყიდვების შესახებ, მე-10 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"ვ" ქვეპუნქტი </t>
    </r>
  </si>
  <si>
    <t>შპს ''მაგთიკომი''</t>
  </si>
  <si>
    <t>კ.ტ</t>
  </si>
  <si>
    <t>CON130000007</t>
  </si>
  <si>
    <t>გამოფენის ფართის დასუფთავება</t>
  </si>
  <si>
    <t>შპს ''ქორსოფთი''</t>
  </si>
  <si>
    <t>სტატისტიკური პორტალის სისიტემის სერვერით და ტექნიკური მხარდაჭერის მომსახურება</t>
  </si>
  <si>
    <t>SPA 130001291</t>
  </si>
  <si>
    <t>AVANZA</t>
  </si>
  <si>
    <t>ესპანეთის საგამოფენო სტენდი</t>
  </si>
  <si>
    <t>შპს ''საქართველოს ფოსტა''</t>
  </si>
  <si>
    <t>ტვირთის გადაზიდვა</t>
  </si>
  <si>
    <r>
      <t>სახელმწიფო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შესყიდვების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შესახებ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საქართველოს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კანონის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მე</t>
    </r>
    <r>
      <rPr>
        <sz val="7"/>
        <color indexed="8"/>
        <rFont val="Calibri"/>
        <family val="2"/>
        <charset val="204"/>
      </rPr>
      <t>-10</t>
    </r>
    <r>
      <rPr>
        <vertAlign val="superscript"/>
        <sz val="7"/>
        <color indexed="8"/>
        <rFont val="Calibri"/>
        <family val="2"/>
        <charset val="204"/>
      </rPr>
      <t>1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მუხლის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მე</t>
    </r>
    <r>
      <rPr>
        <sz val="7"/>
        <color indexed="8"/>
        <rFont val="Calibri"/>
        <family val="2"/>
        <charset val="204"/>
      </rPr>
      <t xml:space="preserve">-3 </t>
    </r>
    <r>
      <rPr>
        <sz val="7"/>
        <color indexed="8"/>
        <rFont val="Sylfaen"/>
        <family val="1"/>
        <charset val="204"/>
      </rPr>
      <t>პუნქტის</t>
    </r>
    <r>
      <rPr>
        <sz val="7"/>
        <color indexed="8"/>
        <rFont val="Calibri"/>
        <family val="2"/>
        <charset val="204"/>
      </rPr>
      <t xml:space="preserve"> ’’</t>
    </r>
    <r>
      <rPr>
        <sz val="7"/>
        <color indexed="8"/>
        <rFont val="Sylfaen"/>
        <family val="1"/>
        <charset val="204"/>
      </rPr>
      <t>ბ</t>
    </r>
    <r>
      <rPr>
        <sz val="7"/>
        <color indexed="8"/>
        <rFont val="Calibri"/>
        <family val="2"/>
        <charset val="204"/>
      </rPr>
      <t xml:space="preserve">’’ </t>
    </r>
    <r>
      <rPr>
        <sz val="7"/>
        <color indexed="8"/>
        <rFont val="Sylfaen"/>
        <family val="1"/>
        <charset val="204"/>
      </rPr>
      <t>ქვეპუნქტის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შესაბამისად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და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საქართველოს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ეკონომიკისა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და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მდგრადი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განვითარების</t>
    </r>
    <r>
      <rPr>
        <sz val="7"/>
        <color indexed="8"/>
        <rFont val="Calibri"/>
        <family val="2"/>
        <charset val="204"/>
      </rPr>
      <t xml:space="preserve"> </t>
    </r>
    <r>
      <rPr>
        <sz val="7"/>
        <color indexed="8"/>
        <rFont val="Sylfaen"/>
        <family val="1"/>
        <charset val="204"/>
      </rPr>
      <t>მინისტრის  პირველი მოადგილის თანხმობით (#18</t>
    </r>
    <r>
      <rPr>
        <sz val="7"/>
        <color indexed="8"/>
        <rFont val="Calibri"/>
        <family val="2"/>
        <charset val="204"/>
      </rPr>
      <t>/</t>
    </r>
    <r>
      <rPr>
        <sz val="7"/>
        <color indexed="8"/>
        <rFont val="Sylfaen"/>
        <family val="1"/>
        <charset val="204"/>
      </rPr>
      <t>555 25.01.2013 წ)</t>
    </r>
  </si>
  <si>
    <t xml:space="preserve">შპს ‘’printer.ge’’ </t>
  </si>
  <si>
    <t>სავიზიტო ბარათების შესყიდვა</t>
  </si>
  <si>
    <r>
      <t xml:space="preserve">SPA - </t>
    </r>
    <r>
      <rPr>
        <sz val="12"/>
        <color indexed="8"/>
        <rFont val="Times New Roman"/>
        <family val="1"/>
        <charset val="204"/>
      </rPr>
      <t>130001788</t>
    </r>
  </si>
  <si>
    <r>
      <t>შპს</t>
    </r>
    <r>
      <rPr>
        <sz val="8"/>
        <color indexed="8"/>
        <rFont val="Calibri"/>
        <family val="2"/>
        <charset val="204"/>
      </rPr>
      <t xml:space="preserve"> </t>
    </r>
    <r>
      <rPr>
        <sz val="8"/>
        <color indexed="23"/>
        <rFont val="Sylfaen"/>
        <family val="1"/>
        <charset val="204"/>
      </rPr>
      <t xml:space="preserve"> </t>
    </r>
    <r>
      <rPr>
        <sz val="8"/>
        <color indexed="8"/>
        <rFont val="Sylfaen"/>
        <family val="1"/>
        <charset val="204"/>
      </rPr>
      <t xml:space="preserve">„DEFO“ </t>
    </r>
  </si>
  <si>
    <t>კარების შესყიდვა</t>
  </si>
  <si>
    <t>შპს ''აჭარა+"</t>
  </si>
  <si>
    <t>სასტუმროს მომსახურება</t>
  </si>
  <si>
    <t>სს ''სასტუმროებისა და რესტორნების მენეჰმენტ ჯგუფი-ემ/გრუპ"</t>
  </si>
  <si>
    <t>სარესტორნო მომსახურება</t>
  </si>
  <si>
    <t>შპს ''სი თი აუტო''</t>
  </si>
  <si>
    <t>შპს ''გუდაური სქი რესორტ''</t>
  </si>
  <si>
    <t>შპს ''პრესტიჟი''</t>
  </si>
  <si>
    <t>შპს ''ტურისტული სააგენტო ვიზიტ ჯორჯია''</t>
  </si>
  <si>
    <t>გიდის მომსახურება</t>
  </si>
  <si>
    <t>cordova</t>
  </si>
  <si>
    <t>ისრაელის საგამოფენო სტენდი</t>
  </si>
  <si>
    <t>სტენდის დასუფთავების მომსახურება</t>
  </si>
  <si>
    <t>შპს "აჭარა+"</t>
  </si>
  <si>
    <t>შპს "ექსპლპრ ჯორჯია''</t>
  </si>
  <si>
    <t>შპს "ვესტ თრეველ''</t>
  </si>
  <si>
    <t>საავტობილო ზეთი</t>
  </si>
  <si>
    <t>ზეთის ფილტრი</t>
  </si>
  <si>
    <t>შპს "ვილა-პალასი''</t>
  </si>
  <si>
    <t>შპს "ტავ ურბან საქართველო''</t>
  </si>
  <si>
    <t>ავტოსადგომების მომსახურება</t>
  </si>
  <si>
    <t>მოდემის შესყიდვა</t>
  </si>
  <si>
    <t>შპს "ძველი სახლი''</t>
  </si>
  <si>
    <t>შპს "სასტუმროების ქსელი რჩეული"</t>
  </si>
  <si>
    <t>შპს "კოპალა"</t>
  </si>
  <si>
    <t>ი.მ. ირაკლი გოგიბერიძე</t>
  </si>
  <si>
    <t>სამუშაო ნახაზებისა და ხარჯების გამოთვლის მომსახურება</t>
  </si>
  <si>
    <t>შპს ''ჰორეკა ჯორჯია''</t>
  </si>
  <si>
    <t>ღონისძიების ორგანიზების მომსახურება</t>
  </si>
  <si>
    <t>ე.ტ</t>
  </si>
  <si>
    <t>SPA130001717</t>
  </si>
  <si>
    <t>შპს ''თევა''</t>
  </si>
  <si>
    <t>ლიფტის ტექნიკური მომსახურება</t>
  </si>
  <si>
    <t>ი.მ. თეა ჯანგიძე</t>
  </si>
  <si>
    <t>ხელის თხევადი საპნის შესყიდვა</t>
  </si>
  <si>
    <t>ნაგვის პარკის შესყიდვა</t>
  </si>
  <si>
    <r>
      <t>შპს „კარგო ლოჯისთიქს გრუფ ჯორჯია’’</t>
    </r>
    <r>
      <rPr>
        <sz val="8"/>
        <color indexed="8"/>
        <rFont val="Sylfaen"/>
        <family val="1"/>
      </rPr>
      <t xml:space="preserve"> </t>
    </r>
  </si>
  <si>
    <t>SPA130003781</t>
  </si>
  <si>
    <t>სს ''პოპული''</t>
  </si>
  <si>
    <t>კვების პროდუქტების შესყიდვა</t>
  </si>
  <si>
    <t>შპს ''თეგეტა მოტორსი''</t>
  </si>
  <si>
    <t>სსიპ საქართველოს საერთაშორისო ხელშეკრულებების თარგმნის ბიურო</t>
  </si>
  <si>
    <t>თარგმნა და თარგმნის სიზუსტის დამოწმება</t>
  </si>
  <si>
    <r>
      <t>საქართველოს კანონი სახელმწიფო შესყიდვების შესახებ, მე-10</t>
    </r>
    <r>
      <rPr>
        <vertAlign val="superscript"/>
        <sz val="7"/>
        <rFont val="Sylfaen"/>
        <family val="1"/>
        <charset val="204"/>
      </rPr>
      <t xml:space="preserve"> 1</t>
    </r>
    <r>
      <rPr>
        <sz val="7"/>
        <rFont val="Sylfaen"/>
        <family val="1"/>
        <charset val="204"/>
      </rPr>
      <t xml:space="preserve"> მუხლის მე-3 პუნქტის "ა" ქვეპუნქტი </t>
    </r>
  </si>
  <si>
    <t>GARUDISENO</t>
  </si>
  <si>
    <t>ბერლინის სტენდის დასუფთავება</t>
  </si>
  <si>
    <t>საგამოფენო სტენდის აგების მომსახურება</t>
  </si>
  <si>
    <r>
      <t>შპს “Meta Development”</t>
    </r>
    <r>
      <rPr>
        <sz val="8"/>
        <color indexed="8"/>
        <rFont val="Sylfaen"/>
        <family val="1"/>
        <charset val="204"/>
      </rPr>
      <t xml:space="preserve"> </t>
    </r>
  </si>
  <si>
    <t>ყუთები წერილებისთვის</t>
  </si>
  <si>
    <t>სსიპ საქართველოს ეროვნული არქივი</t>
  </si>
  <si>
    <t>საარქივო მომსახურება</t>
  </si>
  <si>
    <r>
      <t xml:space="preserve">საქართველოს კანონი სახელმწიფო შესყიდვების შესახებ, მე-10 </t>
    </r>
    <r>
      <rPr>
        <vertAlign val="superscript"/>
        <sz val="7"/>
        <rFont val="Sylfaen"/>
        <family val="1"/>
      </rPr>
      <t>1</t>
    </r>
    <r>
      <rPr>
        <sz val="7"/>
        <rFont val="Sylfaen"/>
        <family val="1"/>
        <charset val="204"/>
      </rPr>
      <t xml:space="preserve"> მუხლის მე-3 პუნქტის "ზ" ქვეპუნქტი </t>
    </r>
  </si>
  <si>
    <t>WINE EVENTS WORLDWIDE</t>
  </si>
  <si>
    <t>კონფერენციასთან დაკავშირებული მომსახურებები</t>
  </si>
  <si>
    <r>
      <t>'სახელმწიფო შესყიდვების შესახებ'' საქართველოს კანონის მე-10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განკარგულება  #211  01.03.2013</t>
    </r>
  </si>
  <si>
    <t>სსიპ საქართველოს ეროვნული მუზეუმი</t>
  </si>
  <si>
    <t>მუზეუმის მომსახურებები</t>
  </si>
  <si>
    <r>
      <t xml:space="preserve">საქართველოს კანონი სახელმწიფო შესყიდვების შესახებ, მე-10 </t>
    </r>
    <r>
      <rPr>
        <vertAlign val="superscript"/>
        <sz val="7"/>
        <rFont val="Sylfaen"/>
        <family val="1"/>
      </rPr>
      <t>1</t>
    </r>
    <r>
      <rPr>
        <sz val="7"/>
        <rFont val="Sylfaen"/>
        <family val="1"/>
        <charset val="204"/>
      </rPr>
      <t xml:space="preserve"> მუხლის მე-3 პუნქტის "ვ" ქვეპუნქტი </t>
    </r>
  </si>
  <si>
    <t>რუკის ციფრული ფაილი</t>
  </si>
  <si>
    <t>SPA130005494</t>
  </si>
  <si>
    <t>ი.მ. დავით ხუციშვილი</t>
  </si>
  <si>
    <t>შპს ''მოდერნ-ვილა''</t>
  </si>
  <si>
    <t>ავეჯის შესყიდვა</t>
  </si>
  <si>
    <t>SPA130005469</t>
  </si>
  <si>
    <t>შპს ''ულტრამარინი''</t>
  </si>
  <si>
    <t>საინფორმაციო და სარეკლამო პროდუქტი</t>
  </si>
  <si>
    <t>SPA130005470</t>
  </si>
  <si>
    <t>შპს ''ივერსი''</t>
  </si>
  <si>
    <t>ანტივირუსის შესყიდვა</t>
  </si>
  <si>
    <t>შპს "ტემპერა''</t>
  </si>
  <si>
    <t>სტიკერების შესყიდვა</t>
  </si>
  <si>
    <t>შპს ''პისიშოპ.ჯი''</t>
  </si>
  <si>
    <t>კომპიუტერის ბატერეის შესყიდვა</t>
  </si>
  <si>
    <t>ART BLANCHE</t>
  </si>
  <si>
    <t>საგამოფენო სტენდის დასუფთავება</t>
  </si>
  <si>
    <t>შპს ''ლეპტოპ ცენტრი''</t>
  </si>
  <si>
    <t>კომპიუტერის შეკეთების მომსახურების  შესყიდვა</t>
  </si>
  <si>
    <t>შპს ''კოპალა''</t>
  </si>
  <si>
    <t>შპს ''ვია თრეველი''</t>
  </si>
  <si>
    <t>საჰაერო მომსახურება</t>
  </si>
  <si>
    <t>შპს ''შუხმან ვაინს ჯორჯია''</t>
  </si>
  <si>
    <t>შპს "ჯი-ემ-თი სასტუმროები</t>
  </si>
  <si>
    <t>საგამოფენო სტენდი</t>
  </si>
  <si>
    <t>შპს ''კარგო ლოჯისთიქს გრუფ ჯორჯია''</t>
  </si>
  <si>
    <t>SPA130007057</t>
  </si>
  <si>
    <t xml:space="preserve">გ.შ. </t>
  </si>
  <si>
    <t>შპს "ექსპლორ ჯორჯია"</t>
  </si>
  <si>
    <t>შპს "ხეობა 020"</t>
  </si>
  <si>
    <t>გ.შ.</t>
  </si>
  <si>
    <t>ი.მ. ნოდარ ნაკანი</t>
  </si>
  <si>
    <t>შპს "სტარი"</t>
  </si>
  <si>
    <t>შპს "ხოხბის ცრემლები"</t>
  </si>
  <si>
    <t>შპს "წინანდალი"</t>
  </si>
  <si>
    <t>შპს "კონკორდ თრეველი"</t>
  </si>
  <si>
    <t>შპს "რას ალ ხაიმა ინვესტმენტ აუტორიტი ჯორჯია"</t>
  </si>
  <si>
    <t>სს "ნუროლ ინშაათ ვე თიჯარეთი"-ს წარმომადგენლობა საქართველოში</t>
  </si>
  <si>
    <t>შპს "მეგრულ-ლაზური2"</t>
  </si>
  <si>
    <t>სს "საქართველოს სასტუმროები და სპა"</t>
  </si>
  <si>
    <t>სს "შატო მუხრანი"</t>
  </si>
  <si>
    <t>შპს "ეისითი"</t>
  </si>
  <si>
    <t>სოციალური კვლევა</t>
  </si>
  <si>
    <t>SPA130004685</t>
  </si>
  <si>
    <t>შპს "ფავორიტი სტილი"</t>
  </si>
  <si>
    <t>რუკები და ბროშურები</t>
  </si>
  <si>
    <t>SPA130006175</t>
  </si>
  <si>
    <t>შპს "ოფის მენეჯერი"</t>
  </si>
  <si>
    <t>ჰიგიენის პროდუქტები</t>
  </si>
  <si>
    <t>სს "პოპული"</t>
  </si>
  <si>
    <t>სასმელი</t>
  </si>
  <si>
    <t>ი.მ. ფიქრია კალატოზიშვილი</t>
  </si>
  <si>
    <t>ფინჯნებისა და მინის ჭიქების შესყიდვა</t>
  </si>
  <si>
    <t>SPA130008776</t>
  </si>
  <si>
    <t>CON130000016</t>
  </si>
  <si>
    <t>საქართველოს მთვარობის 2013 წლის 18 აპრილს N323 განკარგულება  „2013-2014 წლებში ფიჭური სატელეფონო მომსახურების სახელმწიფო შესყიდვის კონსოლიდირებული ტენდერის საშუალებით განხორციელების თაობაზე“</t>
  </si>
  <si>
    <t>შპს "რაფტინგ.ჯი''</t>
  </si>
  <si>
    <t>კვლევისა და დაპროექტების მომსახურება</t>
  </si>
  <si>
    <t>SPA130009496</t>
  </si>
  <si>
    <t>ი.მ. ვახტანგი მამუკაშვილი</t>
  </si>
  <si>
    <t>ნაგვის გატანისა და დასუფთავების მომსახურება</t>
  </si>
  <si>
    <t>SPA130010571</t>
  </si>
  <si>
    <t>შპს ''კარგი ჯგუფი 2008''</t>
  </si>
  <si>
    <t>შპს ''ძველი სახლი''</t>
  </si>
  <si>
    <t>ი.მ. თამაზ სულხანიშვილი</t>
  </si>
  <si>
    <t>შპს ''გურმანი''</t>
  </si>
  <si>
    <t>ი.მ. მერაბ ვაშაკიძე</t>
  </si>
  <si>
    <t>შპს ''ომნეს ტური''</t>
  </si>
  <si>
    <t>შპს ''წინანდალი''</t>
  </si>
  <si>
    <t>სამუზეუმო მომსახურება</t>
  </si>
  <si>
    <t>ფ.პ. თინათინ ნიკოლაიშვილი</t>
  </si>
  <si>
    <t>კერძების მომზადების მომსახურება</t>
  </si>
  <si>
    <t>ჰაერის ფილტრის შესყიდვა</t>
  </si>
  <si>
    <t>შპს ''ჰეფი გრუპი''</t>
  </si>
  <si>
    <t>საკონსულტაციო მომსახურების შესყიდვა</t>
  </si>
  <si>
    <t>SPA130010853</t>
  </si>
  <si>
    <t>ი.მ. ზურაბ ბერიანიძე</t>
  </si>
  <si>
    <t>SPA130011044</t>
  </si>
  <si>
    <t>შპს ''აკასტუდიო''</t>
  </si>
  <si>
    <t>სტატისტიკისათვის პროგრამული უზრუნველყოფის შემუშავება</t>
  </si>
  <si>
    <t>SPA130010903</t>
  </si>
  <si>
    <t>შპს ''პატრონ ჯორჯია''</t>
  </si>
  <si>
    <t>კარტრიჯების დამუხტვა</t>
  </si>
  <si>
    <t xml:space="preserve">შპს ‘’Techknowledge’’ </t>
  </si>
  <si>
    <t>გამაგრილებლების ტექნიკური მომსახურება</t>
  </si>
  <si>
    <t>შპს ''ძველი სიღნაღი''</t>
  </si>
  <si>
    <r>
      <t>შპს ‘’</t>
    </r>
    <r>
      <rPr>
        <sz val="8"/>
        <color indexed="8"/>
        <rFont val="Sylfaen"/>
        <family val="1"/>
        <charset val="204"/>
      </rPr>
      <t xml:space="preserve"> ჯი</t>
    </r>
    <r>
      <rPr>
        <sz val="8"/>
        <color indexed="8"/>
        <rFont val="Calibri"/>
        <family val="2"/>
        <charset val="204"/>
      </rPr>
      <t>-</t>
    </r>
    <r>
      <rPr>
        <sz val="8"/>
        <color indexed="8"/>
        <rFont val="Sylfaen"/>
        <family val="1"/>
        <charset val="204"/>
      </rPr>
      <t>ემ</t>
    </r>
    <r>
      <rPr>
        <sz val="8"/>
        <color indexed="8"/>
        <rFont val="Calibri"/>
        <family val="2"/>
        <charset val="204"/>
      </rPr>
      <t>-</t>
    </r>
    <r>
      <rPr>
        <sz val="8"/>
        <color indexed="8"/>
        <rFont val="Sylfaen"/>
        <family val="1"/>
        <charset val="204"/>
      </rPr>
      <t>თი</t>
    </r>
    <r>
      <rPr>
        <sz val="8"/>
        <color indexed="8"/>
        <rFont val="Calibri"/>
        <family val="2"/>
        <charset val="204"/>
      </rPr>
      <t xml:space="preserve"> </t>
    </r>
    <r>
      <rPr>
        <sz val="8"/>
        <color indexed="8"/>
        <rFont val="Sylfaen"/>
        <family val="1"/>
        <charset val="204"/>
      </rPr>
      <t xml:space="preserve">სასტუმროები’’ </t>
    </r>
  </si>
  <si>
    <t>ფ.პ. თამარ ნათენაძე</t>
  </si>
  <si>
    <t>შპს ''ვესტ თრეველ''</t>
  </si>
  <si>
    <t>შპს ''ბუნებრივი აირი''</t>
  </si>
  <si>
    <t>შპს ''ბაგრატი 1003''</t>
  </si>
  <si>
    <t>სს ''საქართველოს სასტუმროები და სპა''</t>
  </si>
  <si>
    <t>შპს ''ჯორჯიან ჰოტელ მენეჯმენტი''</t>
  </si>
  <si>
    <t>სს ''ნუროლ ინშაათ ვე თიჯარეთის'' წარმომადგენლობა საქართველოში</t>
  </si>
  <si>
    <t>შპს ''ლომსია''</t>
  </si>
  <si>
    <t>სსიპ ''კულტურული მემკვიდრეობის დაცვის ეროვნული სააგენტო''</t>
  </si>
  <si>
    <t>ფ.პ. ინგა ბელოვა</t>
  </si>
  <si>
    <t>შპს ''ჰოტელიერი''</t>
  </si>
  <si>
    <t>შპს ''სატახა''</t>
  </si>
  <si>
    <t>შპს ''N GROUP''</t>
  </si>
  <si>
    <t>შპს მესხური სახლი LTD MESKHURI SAKHLI</t>
  </si>
  <si>
    <t>ააიპ ''ოჟიოს მარანი''</t>
  </si>
  <si>
    <t>ააიპ ''ახალციხის ციხე''</t>
  </si>
  <si>
    <t>სსიპ ''ი.ბ. სტალინის სახელმწიფო მუზეუმი''</t>
  </si>
  <si>
    <t>სს ''შატო მუხრანი''</t>
  </si>
  <si>
    <t>საფოსტო მარკების შესყიდვა</t>
  </si>
  <si>
    <t>შპს '' ექსპლორ ჯორჯია''</t>
  </si>
  <si>
    <t>შპს ''სასადილო +''</t>
  </si>
  <si>
    <t>შპს ''ლოპოტა ტურ სერვისი''</t>
  </si>
  <si>
    <t>შპს ''დანი 2012''</t>
  </si>
  <si>
    <t>სს ''სილქნეტი''</t>
  </si>
  <si>
    <t>საკაბელო ტელევიზიის მომსახურება</t>
  </si>
  <si>
    <t>შპს  ''Art Factory''</t>
  </si>
  <si>
    <t>SPA130010185</t>
  </si>
  <si>
    <t>ფ.პ. ჯანსუღი კუბლაშვილი</t>
  </si>
  <si>
    <t>შპს ''ჯი-ემ-თი სასტუმროები''</t>
  </si>
  <si>
    <t>შპს ''აჭარული ღვინის სახლი''</t>
  </si>
  <si>
    <t>შპს ''ხიდი 2006''</t>
  </si>
  <si>
    <t>შპს ''კოლხური სახლი''</t>
  </si>
  <si>
    <t>სსიპ სახელისუფლებო სპეციალური კავშირების სააგენტო</t>
  </si>
  <si>
    <t>ტელეფონის აპარატი</t>
  </si>
  <si>
    <r>
      <t xml:space="preserve">საქართველოს კანონი სახელმწიფო შესყიდვების შესახებ, მე-10 </t>
    </r>
    <r>
      <rPr>
        <vertAlign val="superscript"/>
        <sz val="7"/>
        <rFont val="AcadNusx"/>
      </rPr>
      <t>1</t>
    </r>
    <r>
      <rPr>
        <sz val="7"/>
        <rFont val="AcadNusx"/>
      </rPr>
      <t xml:space="preserve"> მუხლის მე-3 პუნქტის "ა" ქვეპუნქტი </t>
    </r>
  </si>
  <si>
    <t>საკომუნიკაციო მომსახურება</t>
  </si>
  <si>
    <t>თარჯიმნის მომსახურება</t>
  </si>
  <si>
    <t xml:space="preserve">'სახელმწიფო შესყიდვების შესახებ'' საქართველოს კანონის მე-10/ 1 მუხლის მე-3 პუნქტის „ბ“  საქართველოს ეკონომიკისა და მდგრადი განვითარების მინისტრის თანხმობა 17.06.2013  #18/4410 </t>
  </si>
  <si>
    <t>ი.მ. ირმა ხვედელიძე</t>
  </si>
  <si>
    <t>ტექსტის თარგმნისა და დამუშავების მომსახურება</t>
  </si>
  <si>
    <t>SPA130012701</t>
  </si>
  <si>
    <t>შპს ''იურისტი 2012''</t>
  </si>
  <si>
    <t>სპორტული ღონისძიების მოწყობის ორგანიზება</t>
  </si>
  <si>
    <t>SPA130012712</t>
  </si>
  <si>
    <t>ფ.პ. მიხეილ ლიჩელი</t>
  </si>
  <si>
    <r>
      <t>'სახელმწიფო შესყიდვების შესახებ'' საქართველოს კანონის მე-10/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განკარგულება  #553  11.06.2013</t>
    </r>
  </si>
  <si>
    <t>ააიპ ''რეა''</t>
  </si>
  <si>
    <t>გამოფენის ორგანიზების მომსახურება</t>
  </si>
  <si>
    <t>ააიპ ''მეთოჯინეთა კლუბი''</t>
  </si>
  <si>
    <t>მარიონეტების თეატრის მომსახურება</t>
  </si>
  <si>
    <t>ააიპ ''რაგბის მხარდამჭერთა ლიგა''</t>
  </si>
  <si>
    <t>შპს ''ფავორიტი სტილი''</t>
  </si>
  <si>
    <t>სერთიფიკატების დამზადება</t>
  </si>
  <si>
    <t>შპს ''ლაქი გრუპ+''</t>
  </si>
  <si>
    <t>ფ.პ. პაატა ყვავაძე</t>
  </si>
  <si>
    <t>ვიდეო მომსახურება</t>
  </si>
  <si>
    <t>ფ.პ. ლევან ქართველიშვილი</t>
  </si>
  <si>
    <t>ფოტომომსახურება</t>
  </si>
  <si>
    <t>ფ.პ. გიორგი ჭყოიძე</t>
  </si>
  <si>
    <t>ფ.პ. სანდრო ქოიავა</t>
  </si>
  <si>
    <t>შპს ''E2E4''</t>
  </si>
  <si>
    <t>მაისურებისა და საწვიმარი ლაბადების შესყიდვა</t>
  </si>
  <si>
    <t>SPA130013140</t>
  </si>
  <si>
    <t>შპს ''დეიზი''</t>
  </si>
  <si>
    <t>საიდენტიფიკაციო ბეჯები</t>
  </si>
  <si>
    <t>შპს ''სავარძელი''</t>
  </si>
  <si>
    <t>SPA1300128898</t>
  </si>
  <si>
    <t>სარეკლამო პროდუქტი -საკიდი</t>
  </si>
  <si>
    <t>SPA130013141</t>
  </si>
  <si>
    <t>ქსელის კომპონენტები</t>
  </si>
  <si>
    <t>ფ.პ. ქეთევან გიორგობიანი</t>
  </si>
  <si>
    <t>ი.მ. გია ბადალაშვილი</t>
  </si>
  <si>
    <r>
      <t>უცხოური საწარმოს ფილიალი (წარმომადგენლობა)</t>
    </r>
    <r>
      <rPr>
        <sz val="8"/>
        <color indexed="8"/>
        <rFont val="Sylfaen"/>
        <family val="1"/>
        <charset val="204"/>
      </rPr>
      <t xml:space="preserve"> ‘’ფამთექს ფამუქლუ თექსთილ ურუნლერი სანაი ვე თიჯარეთი’’ </t>
    </r>
  </si>
  <si>
    <t>შპს ''ბიარ მასტერი''</t>
  </si>
  <si>
    <t>სსიპ დაცული ტერიტორიების სააგენტო</t>
  </si>
  <si>
    <t>შპს ''უნიქოლორი''</t>
  </si>
  <si>
    <t>ფაილების შესყიდვა</t>
  </si>
  <si>
    <t>შპს ''ზუმერი ჯორჯია''</t>
  </si>
  <si>
    <t>მობილური ტელეფონის შესყიდვა</t>
  </si>
  <si>
    <t>შპს ''პროესკო''</t>
  </si>
  <si>
    <t>SPA130011496</t>
  </si>
  <si>
    <t>შპს ''აჭარა +''</t>
  </si>
  <si>
    <t>შპს ''ჰანტერი +''</t>
  </si>
  <si>
    <t>ჟალუზების შესყიდვა</t>
  </si>
  <si>
    <t>შპს ''პენსან ჯორჯია''</t>
  </si>
  <si>
    <t>საკანცელარიო ნივთების შესყიდვა</t>
  </si>
  <si>
    <t>SPA130014155</t>
  </si>
  <si>
    <t>შპს ''ზმ''</t>
  </si>
  <si>
    <t>სპეცტანსაცმლის შესყიდვა</t>
  </si>
  <si>
    <t>SPA130013012</t>
  </si>
  <si>
    <t>შპს ''წისქვილი''</t>
  </si>
  <si>
    <t>საინფორმაციო და სარეკლამო პროდუქტის შესყიდვა</t>
  </si>
  <si>
    <t>SPA130014195</t>
  </si>
  <si>
    <t>შპს ''printer.ge''</t>
  </si>
  <si>
    <t>SPA130014091</t>
  </si>
  <si>
    <t xml:space="preserve">შპს ‘’Funday Entertainment’’ </t>
  </si>
  <si>
    <t>SPA130011753</t>
  </si>
  <si>
    <t>სხვადასხვა საკვები პროდუქტის შესყიდვა</t>
  </si>
  <si>
    <t>მინერალური გაზიანი წყალი</t>
  </si>
  <si>
    <t>ი.მ. ლალი ბლიაძე</t>
  </si>
  <si>
    <t>თარჯიმნის მომსახურების შესყიდვა</t>
  </si>
  <si>
    <t>SPA130014394</t>
  </si>
  <si>
    <t>ი.მ. საბა ბარბაქაძე</t>
  </si>
  <si>
    <t>შპს ''ფაუნტეინ ჯორჯია''</t>
  </si>
  <si>
    <t>ბეჭდვასთან დაკავშირებული მომსახურება</t>
  </si>
  <si>
    <t>შპს ''გლობალ ერთი''</t>
  </si>
  <si>
    <t>სატელეფონო ოპერატორის მომსახურება</t>
  </si>
  <si>
    <t>SPA130015225</t>
  </si>
  <si>
    <t>LLC ''GRAND MANAGEMENT''</t>
  </si>
  <si>
    <t>საკვების მიწოდების მომსახურება</t>
  </si>
  <si>
    <t>შპს ''ვესტ თრეველი''</t>
  </si>
  <si>
    <t>შპს ''სასტუმრო ყაზბეგი''</t>
  </si>
  <si>
    <t>შპს ''კურორტი საირმე''</t>
  </si>
  <si>
    <t>სს ''ნუროლ ინშაათ ვე თიჯარეთი''-ს წარმომადგენლობა საქართველოში</t>
  </si>
  <si>
    <t>ი.მ. გიორგი ძიძიგური</t>
  </si>
  <si>
    <t>შპს ''ციტადელ+''</t>
  </si>
  <si>
    <t>შპს ''სვანეთის სასტუმროები''</t>
  </si>
  <si>
    <t>შპს ''მეგრულ-ლაზური2''</t>
  </si>
  <si>
    <t>შპს ''ბი თი ელ''</t>
  </si>
  <si>
    <t>შპს ''შავი ზღვის ფლორისა და ფაუნის შემსწავლელი სამეცნიერო-კვლევითი ცენტრი''</t>
  </si>
  <si>
    <t>დელფინარიუმის მომსახურება</t>
  </si>
  <si>
    <t>შპს ''ფლაი ჯორჯია''</t>
  </si>
  <si>
    <t>შპს ''აჭარა+''</t>
  </si>
  <si>
    <t>შპს ''სინერჯი ჯგუფი''</t>
  </si>
  <si>
    <t>ბიზნესსა და მენეჯმენტთან დაკავშირებული საკონსულტაციო მომსახურების შესყიდვა</t>
  </si>
  <si>
    <t>SPA130015028</t>
  </si>
  <si>
    <t>საქართველოს კანონი ''სახელმწიფო შესყიდვების შესახებ'', მე-9 მუხლის 1/1  პუნქტი</t>
  </si>
  <si>
    <t>შპს ''ნეოტექი''</t>
  </si>
  <si>
    <t>კამერის მონტაჟის მომსახურება</t>
  </si>
  <si>
    <t>ფ.პ. ლეილა მარტიროსიანი</t>
  </si>
  <si>
    <t>საინფორმაციო მომსახურება ტურისტებისათვის</t>
  </si>
  <si>
    <t>ფ.პ. ირინე არნაუტ</t>
  </si>
  <si>
    <t>ფ.პ. ნინო ყვავაძე</t>
  </si>
  <si>
    <t>ფ.პ. თამარ მოდებაძე</t>
  </si>
  <si>
    <t>ფ.პ. ნინო ლობჯანიძე</t>
  </si>
  <si>
    <t>ფ.პ. ანა დალაქიშვილი</t>
  </si>
  <si>
    <t>ფ.პ. გიორგი ქანთარია</t>
  </si>
  <si>
    <t>საიდენტიფიკაციო ბეჯი</t>
  </si>
  <si>
    <t>შპს ''ახალი ნათება''</t>
  </si>
  <si>
    <t>ნათურების შესყიდვა</t>
  </si>
  <si>
    <t>ფ.პ. ნათია რეხვიაშვილი</t>
  </si>
  <si>
    <t>ი.მ. თეიმურაზ ბეგდარაშვილი</t>
  </si>
  <si>
    <t>საძილე ტომრების, კარვებისა და პარალონების შესყიდვა</t>
  </si>
  <si>
    <t>ქსელის ჰაბის შესყიდვა</t>
  </si>
  <si>
    <t>შპს ''ეს სი თრეველ''</t>
  </si>
  <si>
    <t>შპს ''კონკორდ თრეველი''</t>
  </si>
  <si>
    <t>EUROPEAN CITIES MARKETING</t>
  </si>
  <si>
    <t>სატრენინგო მომსახურება</t>
  </si>
  <si>
    <t>შპს ''თ.ნ.მ.გ''</t>
  </si>
  <si>
    <t>შპს ''ვილა-პალასი''</t>
  </si>
  <si>
    <r>
      <t>'სახელმწიფო შესყიდვების შესახებ'' საქართველოს კანონის მე-10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განკარგულებები  #2085  28.12.2012 #553 11.06.2013 წ</t>
    </r>
  </si>
  <si>
    <t>შპს ''GNT''</t>
  </si>
  <si>
    <t xml:space="preserve">დროის საკონტროლო სისტემა </t>
  </si>
  <si>
    <t>შპს ''მაი მობაილ+''</t>
  </si>
  <si>
    <t>კომპიუტერული ტექნიკა</t>
  </si>
  <si>
    <t>SPA130017316</t>
  </si>
  <si>
    <t>შპს ''ექსპლორ ჯორჯია''</t>
  </si>
  <si>
    <t>შპს ''პროსერვისი''</t>
  </si>
  <si>
    <t>პროგრამული პაკეტის შესყიდვა</t>
  </si>
  <si>
    <r>
      <t>'სახელმწიფო შესყიდვების შესახებ'' საქართველოს კანონის მე-10</t>
    </r>
    <r>
      <rPr>
        <vertAlign val="superscript"/>
        <sz val="7"/>
        <rFont val="Sylfaen"/>
        <family val="1"/>
        <charset val="204"/>
      </rPr>
      <t>1</t>
    </r>
    <r>
      <rPr>
        <sz val="7"/>
        <rFont val="Sylfaen"/>
        <family val="1"/>
        <charset val="204"/>
      </rPr>
      <t xml:space="preserve"> მუხლის მე-3 პუნქტის "დ" ქვეპუნქტის შესაბამისად                       საქართველოს მთავრობის განკარგულებები   #2085  28.12.2012 და #553 11.06.2013</t>
    </r>
  </si>
  <si>
    <t>ააიპ ''ეკო-ტურიზმის განვითარების ცენტრი''</t>
  </si>
  <si>
    <t>SPA130017510</t>
  </si>
  <si>
    <t>შპს ''ტყუპების ძველი მარანი''</t>
  </si>
  <si>
    <t>შპს ''არმაზის წყარო''</t>
  </si>
  <si>
    <t>შპს '' აუტო გრუპი''</t>
  </si>
  <si>
    <t>LTD ''QLOBAL  INVEST KOMPANI MMC''</t>
  </si>
  <si>
    <t>ააიპ ''ეკოლოგიური ტურიზმის განვითარების ცენტრი''</t>
  </si>
  <si>
    <t>კვლევა და დაპროექტების მომსახურება</t>
  </si>
  <si>
    <t>SPA130019778</t>
  </si>
  <si>
    <t>შპს ''მ.პროდაქშენი M.PRODUCTION''</t>
  </si>
  <si>
    <t>სარეკლამო ვიდეო-რგოლის შესყიდვა</t>
  </si>
  <si>
    <t>შპს ''შიტრიტ ჯგუფი საქართველოში''</t>
  </si>
  <si>
    <t>შპს ''რიზორტ გრუპი''</t>
  </si>
  <si>
    <t>შპს ''ჯორჯიან ჰოტელ  მენეჯმენტი''</t>
  </si>
  <si>
    <t>ი.მ. ხვიჩა ჯანანაშვილი</t>
  </si>
  <si>
    <t>ი.მ. ქეთევანი გოგინაშვილი</t>
  </si>
  <si>
    <t>UAB ''VIESBUTIS ''LIETUVA''</t>
  </si>
  <si>
    <t>SIA''POLAR BEK DAUGAVA</t>
  </si>
  <si>
    <t>სტუმრების ჩაითა და ყავით უზრუნველყოფა</t>
  </si>
  <si>
    <t>შპს ''სი-ტი პარკ''</t>
  </si>
  <si>
    <t>სს სასტუმროებისა და რესტორნების მენეჯმენტ ჯგუფი - ემ /გრუპ</t>
  </si>
  <si>
    <t>ფ.პ. მაია მდივნიშვილი</t>
  </si>
  <si>
    <t>შპს ''თეთნულდი 2007''</t>
  </si>
  <si>
    <t>სსიპ საქართველოს კულტურული მემკვიდრეობის  დაცვის ეროვნული სააგენტო</t>
  </si>
  <si>
    <t>ი.მ. სიმონი რუაძე</t>
  </si>
  <si>
    <t>შპს ''ქინძმარაულის მარანი''</t>
  </si>
  <si>
    <t>შპს ''ევროკომ ინვესტმენტ ჯორჯია''</t>
  </si>
  <si>
    <t>შპს ''ვალოდიას კოტეჯი''</t>
  </si>
  <si>
    <t>შპს ''ხვითი ინვესტ''</t>
  </si>
  <si>
    <t>შპს ''მგზავრული''</t>
  </si>
  <si>
    <t>შპს ''მგზავრები FAMILY''</t>
  </si>
  <si>
    <t>ააიპ ახალციხის ციხე</t>
  </si>
  <si>
    <t>გადარიცხვა</t>
  </si>
  <si>
    <t>0.00</t>
  </si>
  <si>
    <t xml:space="preserve">გადარიცხვა </t>
  </si>
  <si>
    <t>ლარი</t>
  </si>
  <si>
    <t>აშშ დოლარი</t>
  </si>
  <si>
    <t>ევრო</t>
  </si>
  <si>
    <t>ხელშეკრულების ღირებულება</t>
  </si>
  <si>
    <t>გადარიცხული თანხები</t>
  </si>
  <si>
    <t>ინფრმაცია საქართველოს სსიპ საქართველოს ტურიზმის ეროვნული ადმინისტრაციის მიერ  სახელმწიფო შესყიდვების წლიური გეგმის ფარგლებში  01.01.13-დან 01.10.13-მდე განხორციელებული სახელმწიფო შესყიდვების შესახებ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</si>
</sst>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3">
    <font>
      <sz val="11"/>
      <color theme="1"/>
      <name val="Calibri"/>
      <family val="2"/>
      <scheme val="minor"/>
    </font>
    <font>
      <b/>
      <sz val="12"/>
      <name val="Sylfaen"/>
      <family val="1"/>
      <charset val="204"/>
    </font>
    <font>
      <b/>
      <sz val="14"/>
      <name val="Sylfaen"/>
      <family val="1"/>
      <charset val="204"/>
    </font>
    <font>
      <b/>
      <sz val="12"/>
      <name val="Sylfae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Sylfaen"/>
      <family val="1"/>
    </font>
    <font>
      <b/>
      <sz val="7"/>
      <name val="Sylfaen"/>
      <family val="1"/>
    </font>
    <font>
      <b/>
      <sz val="9"/>
      <name val="Sylfaen"/>
      <family val="1"/>
    </font>
    <font>
      <b/>
      <sz val="10"/>
      <color theme="0"/>
      <name val="Sylfaen"/>
      <family val="1"/>
    </font>
    <font>
      <sz val="8"/>
      <name val="Sylfaen"/>
      <family val="1"/>
    </font>
    <font>
      <sz val="9"/>
      <name val="Sylfaen"/>
      <family val="1"/>
    </font>
    <font>
      <sz val="7"/>
      <name val="Sylfaen"/>
      <family val="1"/>
    </font>
    <font>
      <sz val="10"/>
      <name val="Arial"/>
      <family val="2"/>
    </font>
    <font>
      <sz val="8"/>
      <name val="Sylfaen"/>
      <family val="1"/>
      <charset val="204"/>
    </font>
    <font>
      <sz val="7"/>
      <name val="Sylfaen"/>
      <family val="1"/>
      <charset val="204"/>
    </font>
    <font>
      <vertAlign val="superscript"/>
      <sz val="7"/>
      <name val="Sylfaen"/>
      <family val="1"/>
      <charset val="204"/>
    </font>
    <font>
      <sz val="7"/>
      <color theme="1"/>
      <name val="Sylfaen"/>
      <family val="1"/>
      <charset val="204"/>
    </font>
    <font>
      <sz val="7"/>
      <color indexed="8"/>
      <name val="Calibri"/>
      <family val="2"/>
      <charset val="204"/>
    </font>
    <font>
      <sz val="7"/>
      <color indexed="8"/>
      <name val="Sylfaen"/>
      <family val="1"/>
      <charset val="204"/>
    </font>
    <font>
      <vertAlign val="superscript"/>
      <sz val="7"/>
      <color indexed="8"/>
      <name val="Calibri"/>
      <family val="2"/>
      <charset val="204"/>
    </font>
    <font>
      <sz val="10"/>
      <color theme="1"/>
      <name val="Sylfae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Sylfaen"/>
      <family val="1"/>
      <charset val="204"/>
    </font>
    <font>
      <sz val="8"/>
      <color indexed="8"/>
      <name val="Calibri"/>
      <family val="2"/>
      <charset val="204"/>
    </font>
    <font>
      <sz val="8"/>
      <color indexed="23"/>
      <name val="Sylfaen"/>
      <family val="1"/>
      <charset val="204"/>
    </font>
    <font>
      <sz val="8"/>
      <color indexed="8"/>
      <name val="Sylfaen"/>
      <family val="1"/>
      <charset val="204"/>
    </font>
    <font>
      <sz val="8"/>
      <color theme="1"/>
      <name val="Sylfaen"/>
      <family val="1"/>
    </font>
    <font>
      <sz val="8"/>
      <color indexed="8"/>
      <name val="Sylfaen"/>
      <family val="1"/>
    </font>
    <font>
      <vertAlign val="superscript"/>
      <sz val="7"/>
      <name val="Sylfaen"/>
      <family val="1"/>
    </font>
    <font>
      <sz val="11"/>
      <color theme="1"/>
      <name val="Times New Roman"/>
      <family val="1"/>
      <charset val="204"/>
    </font>
    <font>
      <sz val="11"/>
      <name val="Sylfaen"/>
      <family val="1"/>
    </font>
    <font>
      <u/>
      <sz val="11"/>
      <color theme="10"/>
      <name val="Calibri"/>
      <family val="2"/>
    </font>
    <font>
      <u/>
      <sz val="7"/>
      <name val="Calibri"/>
      <family val="2"/>
    </font>
    <font>
      <sz val="10"/>
      <name val="Sylfaen"/>
      <family val="1"/>
    </font>
    <font>
      <sz val="9"/>
      <color theme="1"/>
      <name val="Calibri"/>
      <family val="2"/>
      <charset val="204"/>
      <scheme val="minor"/>
    </font>
    <font>
      <sz val="7"/>
      <name val="AcadNusx"/>
    </font>
    <font>
      <vertAlign val="superscript"/>
      <sz val="7"/>
      <name val="AcadNusx"/>
    </font>
    <font>
      <sz val="9"/>
      <color rgb="FF000000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Sylfaen"/>
      <family val="1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0" fontId="13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3" fillId="2" borderId="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2" fontId="6" fillId="4" borderId="2" xfId="1" applyNumberFormat="1" applyFont="1" applyFill="1" applyBorder="1" applyAlignment="1">
      <alignment horizontal="center" vertical="center" wrapText="1"/>
    </xf>
    <xf numFmtId="14" fontId="6" fillId="4" borderId="2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2" fontId="9" fillId="5" borderId="2" xfId="1" applyNumberFormat="1" applyFont="1" applyFill="1" applyBorder="1" applyAlignment="1">
      <alignment horizontal="center" vertical="center" wrapText="1"/>
    </xf>
    <xf numFmtId="164" fontId="8" fillId="5" borderId="2" xfId="1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14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14" fillId="2" borderId="2" xfId="2" applyNumberFormat="1" applyFont="1" applyFill="1" applyBorder="1" applyAlignment="1">
      <alignment horizontal="center" vertical="center" wrapText="1"/>
    </xf>
    <xf numFmtId="164" fontId="15" fillId="0" borderId="2" xfId="0" quotePrefix="1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2" borderId="2" xfId="0" quotePrefix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 wrapText="1"/>
    </xf>
    <xf numFmtId="164" fontId="15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31" fillId="2" borderId="2" xfId="0" applyFont="1" applyFill="1" applyBorder="1" applyAlignment="1">
      <alignment horizontal="center" vertical="center" wrapText="1"/>
    </xf>
    <xf numFmtId="0" fontId="33" fillId="0" borderId="2" xfId="3" applyFont="1" applyBorder="1" applyAlignment="1" applyProtection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23" fillId="2" borderId="2" xfId="0" applyFont="1" applyFill="1" applyBorder="1" applyAlignment="1">
      <alignment vertical="center" wrapText="1"/>
    </xf>
    <xf numFmtId="2" fontId="34" fillId="2" borderId="2" xfId="0" applyNumberFormat="1" applyFont="1" applyFill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64" fontId="36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wrapText="1"/>
    </xf>
    <xf numFmtId="0" fontId="38" fillId="0" borderId="2" xfId="0" applyFont="1" applyBorder="1"/>
    <xf numFmtId="0" fontId="39" fillId="0" borderId="2" xfId="0" applyFont="1" applyBorder="1" applyAlignment="1">
      <alignment horizontal="left" indent="2"/>
    </xf>
    <xf numFmtId="0" fontId="40" fillId="2" borderId="2" xfId="0" applyFont="1" applyFill="1" applyBorder="1" applyAlignment="1">
      <alignment horizontal="center" vertical="center" wrapText="1"/>
    </xf>
    <xf numFmtId="0" fontId="0" fillId="0" borderId="0" xfId="0" applyBorder="1"/>
    <xf numFmtId="0" fontId="41" fillId="0" borderId="0" xfId="0" applyFont="1" applyFill="1" applyBorder="1"/>
    <xf numFmtId="0" fontId="10" fillId="3" borderId="2" xfId="0" applyFont="1" applyFill="1" applyBorder="1" applyAlignment="1">
      <alignment horizontal="center" vertical="center" wrapText="1"/>
    </xf>
    <xf numFmtId="0" fontId="41" fillId="0" borderId="2" xfId="0" applyFont="1" applyFill="1" applyBorder="1"/>
    <xf numFmtId="0" fontId="0" fillId="0" borderId="2" xfId="0" applyBorder="1"/>
    <xf numFmtId="0" fontId="11" fillId="3" borderId="2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2" fontId="6" fillId="3" borderId="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/>
    <cellStyle name="Normal 3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procurement.gov.ge/files/_data/geo/samartleblivi_aqtebi/gankarguleba_n323_201304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222"/>
  <sheetViews>
    <sheetView workbookViewId="0">
      <selection activeCell="A2" sqref="A2:H86"/>
    </sheetView>
  </sheetViews>
  <sheetFormatPr defaultRowHeight="15"/>
  <cols>
    <col min="1" max="1" width="5.140625" customWidth="1"/>
    <col min="2" max="2" width="26.28515625" customWidth="1"/>
    <col min="3" max="3" width="30.140625" customWidth="1"/>
    <col min="4" max="4" width="12.5703125" customWidth="1"/>
    <col min="5" max="5" width="12.85546875" customWidth="1"/>
    <col min="6" max="6" width="20.140625" customWidth="1"/>
    <col min="7" max="7" width="38" customWidth="1"/>
    <col min="8" max="8" width="18.7109375" style="42" customWidth="1"/>
    <col min="257" max="257" width="5.140625" customWidth="1"/>
    <col min="258" max="258" width="26.28515625" customWidth="1"/>
    <col min="259" max="259" width="30.140625" customWidth="1"/>
    <col min="260" max="260" width="12.5703125" customWidth="1"/>
    <col min="261" max="261" width="12.85546875" customWidth="1"/>
    <col min="262" max="262" width="20.140625" customWidth="1"/>
    <col min="263" max="263" width="28.7109375" customWidth="1"/>
    <col min="513" max="513" width="5.140625" customWidth="1"/>
    <col min="514" max="514" width="26.28515625" customWidth="1"/>
    <col min="515" max="515" width="30.140625" customWidth="1"/>
    <col min="516" max="516" width="12.5703125" customWidth="1"/>
    <col min="517" max="517" width="12.85546875" customWidth="1"/>
    <col min="518" max="518" width="20.140625" customWidth="1"/>
    <col min="519" max="519" width="28.7109375" customWidth="1"/>
    <col min="769" max="769" width="5.140625" customWidth="1"/>
    <col min="770" max="770" width="26.28515625" customWidth="1"/>
    <col min="771" max="771" width="30.140625" customWidth="1"/>
    <col min="772" max="772" width="12.5703125" customWidth="1"/>
    <col min="773" max="773" width="12.85546875" customWidth="1"/>
    <col min="774" max="774" width="20.140625" customWidth="1"/>
    <col min="775" max="775" width="28.7109375" customWidth="1"/>
    <col min="1025" max="1025" width="5.140625" customWidth="1"/>
    <col min="1026" max="1026" width="26.28515625" customWidth="1"/>
    <col min="1027" max="1027" width="30.140625" customWidth="1"/>
    <col min="1028" max="1028" width="12.5703125" customWidth="1"/>
    <col min="1029" max="1029" width="12.85546875" customWidth="1"/>
    <col min="1030" max="1030" width="20.140625" customWidth="1"/>
    <col min="1031" max="1031" width="28.7109375" customWidth="1"/>
    <col min="1281" max="1281" width="5.140625" customWidth="1"/>
    <col min="1282" max="1282" width="26.28515625" customWidth="1"/>
    <col min="1283" max="1283" width="30.140625" customWidth="1"/>
    <col min="1284" max="1284" width="12.5703125" customWidth="1"/>
    <col min="1285" max="1285" width="12.85546875" customWidth="1"/>
    <col min="1286" max="1286" width="20.140625" customWidth="1"/>
    <col min="1287" max="1287" width="28.7109375" customWidth="1"/>
    <col min="1537" max="1537" width="5.140625" customWidth="1"/>
    <col min="1538" max="1538" width="26.28515625" customWidth="1"/>
    <col min="1539" max="1539" width="30.140625" customWidth="1"/>
    <col min="1540" max="1540" width="12.5703125" customWidth="1"/>
    <col min="1541" max="1541" width="12.85546875" customWidth="1"/>
    <col min="1542" max="1542" width="20.140625" customWidth="1"/>
    <col min="1543" max="1543" width="28.7109375" customWidth="1"/>
    <col min="1793" max="1793" width="5.140625" customWidth="1"/>
    <col min="1794" max="1794" width="26.28515625" customWidth="1"/>
    <col min="1795" max="1795" width="30.140625" customWidth="1"/>
    <col min="1796" max="1796" width="12.5703125" customWidth="1"/>
    <col min="1797" max="1797" width="12.85546875" customWidth="1"/>
    <col min="1798" max="1798" width="20.140625" customWidth="1"/>
    <col min="1799" max="1799" width="28.7109375" customWidth="1"/>
    <col min="2049" max="2049" width="5.140625" customWidth="1"/>
    <col min="2050" max="2050" width="26.28515625" customWidth="1"/>
    <col min="2051" max="2051" width="30.140625" customWidth="1"/>
    <col min="2052" max="2052" width="12.5703125" customWidth="1"/>
    <col min="2053" max="2053" width="12.85546875" customWidth="1"/>
    <col min="2054" max="2054" width="20.140625" customWidth="1"/>
    <col min="2055" max="2055" width="28.7109375" customWidth="1"/>
    <col min="2305" max="2305" width="5.140625" customWidth="1"/>
    <col min="2306" max="2306" width="26.28515625" customWidth="1"/>
    <col min="2307" max="2307" width="30.140625" customWidth="1"/>
    <col min="2308" max="2308" width="12.5703125" customWidth="1"/>
    <col min="2309" max="2309" width="12.85546875" customWidth="1"/>
    <col min="2310" max="2310" width="20.140625" customWidth="1"/>
    <col min="2311" max="2311" width="28.7109375" customWidth="1"/>
    <col min="2561" max="2561" width="5.140625" customWidth="1"/>
    <col min="2562" max="2562" width="26.28515625" customWidth="1"/>
    <col min="2563" max="2563" width="30.140625" customWidth="1"/>
    <col min="2564" max="2564" width="12.5703125" customWidth="1"/>
    <col min="2565" max="2565" width="12.85546875" customWidth="1"/>
    <col min="2566" max="2566" width="20.140625" customWidth="1"/>
    <col min="2567" max="2567" width="28.7109375" customWidth="1"/>
    <col min="2817" max="2817" width="5.140625" customWidth="1"/>
    <col min="2818" max="2818" width="26.28515625" customWidth="1"/>
    <col min="2819" max="2819" width="30.140625" customWidth="1"/>
    <col min="2820" max="2820" width="12.5703125" customWidth="1"/>
    <col min="2821" max="2821" width="12.85546875" customWidth="1"/>
    <col min="2822" max="2822" width="20.140625" customWidth="1"/>
    <col min="2823" max="2823" width="28.7109375" customWidth="1"/>
    <col min="3073" max="3073" width="5.140625" customWidth="1"/>
    <col min="3074" max="3074" width="26.28515625" customWidth="1"/>
    <col min="3075" max="3075" width="30.140625" customWidth="1"/>
    <col min="3076" max="3076" width="12.5703125" customWidth="1"/>
    <col min="3077" max="3077" width="12.85546875" customWidth="1"/>
    <col min="3078" max="3078" width="20.140625" customWidth="1"/>
    <col min="3079" max="3079" width="28.7109375" customWidth="1"/>
    <col min="3329" max="3329" width="5.140625" customWidth="1"/>
    <col min="3330" max="3330" width="26.28515625" customWidth="1"/>
    <col min="3331" max="3331" width="30.140625" customWidth="1"/>
    <col min="3332" max="3332" width="12.5703125" customWidth="1"/>
    <col min="3333" max="3333" width="12.85546875" customWidth="1"/>
    <col min="3334" max="3334" width="20.140625" customWidth="1"/>
    <col min="3335" max="3335" width="28.7109375" customWidth="1"/>
    <col min="3585" max="3585" width="5.140625" customWidth="1"/>
    <col min="3586" max="3586" width="26.28515625" customWidth="1"/>
    <col min="3587" max="3587" width="30.140625" customWidth="1"/>
    <col min="3588" max="3588" width="12.5703125" customWidth="1"/>
    <col min="3589" max="3589" width="12.85546875" customWidth="1"/>
    <col min="3590" max="3590" width="20.140625" customWidth="1"/>
    <col min="3591" max="3591" width="28.7109375" customWidth="1"/>
    <col min="3841" max="3841" width="5.140625" customWidth="1"/>
    <col min="3842" max="3842" width="26.28515625" customWidth="1"/>
    <col min="3843" max="3843" width="30.140625" customWidth="1"/>
    <col min="3844" max="3844" width="12.5703125" customWidth="1"/>
    <col min="3845" max="3845" width="12.85546875" customWidth="1"/>
    <col min="3846" max="3846" width="20.140625" customWidth="1"/>
    <col min="3847" max="3847" width="28.7109375" customWidth="1"/>
    <col min="4097" max="4097" width="5.140625" customWidth="1"/>
    <col min="4098" max="4098" width="26.28515625" customWidth="1"/>
    <col min="4099" max="4099" width="30.140625" customWidth="1"/>
    <col min="4100" max="4100" width="12.5703125" customWidth="1"/>
    <col min="4101" max="4101" width="12.85546875" customWidth="1"/>
    <col min="4102" max="4102" width="20.140625" customWidth="1"/>
    <col min="4103" max="4103" width="28.7109375" customWidth="1"/>
    <col min="4353" max="4353" width="5.140625" customWidth="1"/>
    <col min="4354" max="4354" width="26.28515625" customWidth="1"/>
    <col min="4355" max="4355" width="30.140625" customWidth="1"/>
    <col min="4356" max="4356" width="12.5703125" customWidth="1"/>
    <col min="4357" max="4357" width="12.85546875" customWidth="1"/>
    <col min="4358" max="4358" width="20.140625" customWidth="1"/>
    <col min="4359" max="4359" width="28.7109375" customWidth="1"/>
    <col min="4609" max="4609" width="5.140625" customWidth="1"/>
    <col min="4610" max="4610" width="26.28515625" customWidth="1"/>
    <col min="4611" max="4611" width="30.140625" customWidth="1"/>
    <col min="4612" max="4612" width="12.5703125" customWidth="1"/>
    <col min="4613" max="4613" width="12.85546875" customWidth="1"/>
    <col min="4614" max="4614" width="20.140625" customWidth="1"/>
    <col min="4615" max="4615" width="28.7109375" customWidth="1"/>
    <col min="4865" max="4865" width="5.140625" customWidth="1"/>
    <col min="4866" max="4866" width="26.28515625" customWidth="1"/>
    <col min="4867" max="4867" width="30.140625" customWidth="1"/>
    <col min="4868" max="4868" width="12.5703125" customWidth="1"/>
    <col min="4869" max="4869" width="12.85546875" customWidth="1"/>
    <col min="4870" max="4870" width="20.140625" customWidth="1"/>
    <col min="4871" max="4871" width="28.7109375" customWidth="1"/>
    <col min="5121" max="5121" width="5.140625" customWidth="1"/>
    <col min="5122" max="5122" width="26.28515625" customWidth="1"/>
    <col min="5123" max="5123" width="30.140625" customWidth="1"/>
    <col min="5124" max="5124" width="12.5703125" customWidth="1"/>
    <col min="5125" max="5125" width="12.85546875" customWidth="1"/>
    <col min="5126" max="5126" width="20.140625" customWidth="1"/>
    <col min="5127" max="5127" width="28.7109375" customWidth="1"/>
    <col min="5377" max="5377" width="5.140625" customWidth="1"/>
    <col min="5378" max="5378" width="26.28515625" customWidth="1"/>
    <col min="5379" max="5379" width="30.140625" customWidth="1"/>
    <col min="5380" max="5380" width="12.5703125" customWidth="1"/>
    <col min="5381" max="5381" width="12.85546875" customWidth="1"/>
    <col min="5382" max="5382" width="20.140625" customWidth="1"/>
    <col min="5383" max="5383" width="28.7109375" customWidth="1"/>
    <col min="5633" max="5633" width="5.140625" customWidth="1"/>
    <col min="5634" max="5634" width="26.28515625" customWidth="1"/>
    <col min="5635" max="5635" width="30.140625" customWidth="1"/>
    <col min="5636" max="5636" width="12.5703125" customWidth="1"/>
    <col min="5637" max="5637" width="12.85546875" customWidth="1"/>
    <col min="5638" max="5638" width="20.140625" customWidth="1"/>
    <col min="5639" max="5639" width="28.7109375" customWidth="1"/>
    <col min="5889" max="5889" width="5.140625" customWidth="1"/>
    <col min="5890" max="5890" width="26.28515625" customWidth="1"/>
    <col min="5891" max="5891" width="30.140625" customWidth="1"/>
    <col min="5892" max="5892" width="12.5703125" customWidth="1"/>
    <col min="5893" max="5893" width="12.85546875" customWidth="1"/>
    <col min="5894" max="5894" width="20.140625" customWidth="1"/>
    <col min="5895" max="5895" width="28.7109375" customWidth="1"/>
    <col min="6145" max="6145" width="5.140625" customWidth="1"/>
    <col min="6146" max="6146" width="26.28515625" customWidth="1"/>
    <col min="6147" max="6147" width="30.140625" customWidth="1"/>
    <col min="6148" max="6148" width="12.5703125" customWidth="1"/>
    <col min="6149" max="6149" width="12.85546875" customWidth="1"/>
    <col min="6150" max="6150" width="20.140625" customWidth="1"/>
    <col min="6151" max="6151" width="28.7109375" customWidth="1"/>
    <col min="6401" max="6401" width="5.140625" customWidth="1"/>
    <col min="6402" max="6402" width="26.28515625" customWidth="1"/>
    <col min="6403" max="6403" width="30.140625" customWidth="1"/>
    <col min="6404" max="6404" width="12.5703125" customWidth="1"/>
    <col min="6405" max="6405" width="12.85546875" customWidth="1"/>
    <col min="6406" max="6406" width="20.140625" customWidth="1"/>
    <col min="6407" max="6407" width="28.7109375" customWidth="1"/>
    <col min="6657" max="6657" width="5.140625" customWidth="1"/>
    <col min="6658" max="6658" width="26.28515625" customWidth="1"/>
    <col min="6659" max="6659" width="30.140625" customWidth="1"/>
    <col min="6660" max="6660" width="12.5703125" customWidth="1"/>
    <col min="6661" max="6661" width="12.85546875" customWidth="1"/>
    <col min="6662" max="6662" width="20.140625" customWidth="1"/>
    <col min="6663" max="6663" width="28.7109375" customWidth="1"/>
    <col min="6913" max="6913" width="5.140625" customWidth="1"/>
    <col min="6914" max="6914" width="26.28515625" customWidth="1"/>
    <col min="6915" max="6915" width="30.140625" customWidth="1"/>
    <col min="6916" max="6916" width="12.5703125" customWidth="1"/>
    <col min="6917" max="6917" width="12.85546875" customWidth="1"/>
    <col min="6918" max="6918" width="20.140625" customWidth="1"/>
    <col min="6919" max="6919" width="28.7109375" customWidth="1"/>
    <col min="7169" max="7169" width="5.140625" customWidth="1"/>
    <col min="7170" max="7170" width="26.28515625" customWidth="1"/>
    <col min="7171" max="7171" width="30.140625" customWidth="1"/>
    <col min="7172" max="7172" width="12.5703125" customWidth="1"/>
    <col min="7173" max="7173" width="12.85546875" customWidth="1"/>
    <col min="7174" max="7174" width="20.140625" customWidth="1"/>
    <col min="7175" max="7175" width="28.7109375" customWidth="1"/>
    <col min="7425" max="7425" width="5.140625" customWidth="1"/>
    <col min="7426" max="7426" width="26.28515625" customWidth="1"/>
    <col min="7427" max="7427" width="30.140625" customWidth="1"/>
    <col min="7428" max="7428" width="12.5703125" customWidth="1"/>
    <col min="7429" max="7429" width="12.85546875" customWidth="1"/>
    <col min="7430" max="7430" width="20.140625" customWidth="1"/>
    <col min="7431" max="7431" width="28.7109375" customWidth="1"/>
    <col min="7681" max="7681" width="5.140625" customWidth="1"/>
    <col min="7682" max="7682" width="26.28515625" customWidth="1"/>
    <col min="7683" max="7683" width="30.140625" customWidth="1"/>
    <col min="7684" max="7684" width="12.5703125" customWidth="1"/>
    <col min="7685" max="7685" width="12.85546875" customWidth="1"/>
    <col min="7686" max="7686" width="20.140625" customWidth="1"/>
    <col min="7687" max="7687" width="28.7109375" customWidth="1"/>
    <col min="7937" max="7937" width="5.140625" customWidth="1"/>
    <col min="7938" max="7938" width="26.28515625" customWidth="1"/>
    <col min="7939" max="7939" width="30.140625" customWidth="1"/>
    <col min="7940" max="7940" width="12.5703125" customWidth="1"/>
    <col min="7941" max="7941" width="12.85546875" customWidth="1"/>
    <col min="7942" max="7942" width="20.140625" customWidth="1"/>
    <col min="7943" max="7943" width="28.7109375" customWidth="1"/>
    <col min="8193" max="8193" width="5.140625" customWidth="1"/>
    <col min="8194" max="8194" width="26.28515625" customWidth="1"/>
    <col min="8195" max="8195" width="30.140625" customWidth="1"/>
    <col min="8196" max="8196" width="12.5703125" customWidth="1"/>
    <col min="8197" max="8197" width="12.85546875" customWidth="1"/>
    <col min="8198" max="8198" width="20.140625" customWidth="1"/>
    <col min="8199" max="8199" width="28.7109375" customWidth="1"/>
    <col min="8449" max="8449" width="5.140625" customWidth="1"/>
    <col min="8450" max="8450" width="26.28515625" customWidth="1"/>
    <col min="8451" max="8451" width="30.140625" customWidth="1"/>
    <col min="8452" max="8452" width="12.5703125" customWidth="1"/>
    <col min="8453" max="8453" width="12.85546875" customWidth="1"/>
    <col min="8454" max="8454" width="20.140625" customWidth="1"/>
    <col min="8455" max="8455" width="28.7109375" customWidth="1"/>
    <col min="8705" max="8705" width="5.140625" customWidth="1"/>
    <col min="8706" max="8706" width="26.28515625" customWidth="1"/>
    <col min="8707" max="8707" width="30.140625" customWidth="1"/>
    <col min="8708" max="8708" width="12.5703125" customWidth="1"/>
    <col min="8709" max="8709" width="12.85546875" customWidth="1"/>
    <col min="8710" max="8710" width="20.140625" customWidth="1"/>
    <col min="8711" max="8711" width="28.7109375" customWidth="1"/>
    <col min="8961" max="8961" width="5.140625" customWidth="1"/>
    <col min="8962" max="8962" width="26.28515625" customWidth="1"/>
    <col min="8963" max="8963" width="30.140625" customWidth="1"/>
    <col min="8964" max="8964" width="12.5703125" customWidth="1"/>
    <col min="8965" max="8965" width="12.85546875" customWidth="1"/>
    <col min="8966" max="8966" width="20.140625" customWidth="1"/>
    <col min="8967" max="8967" width="28.7109375" customWidth="1"/>
    <col min="9217" max="9217" width="5.140625" customWidth="1"/>
    <col min="9218" max="9218" width="26.28515625" customWidth="1"/>
    <col min="9219" max="9219" width="30.140625" customWidth="1"/>
    <col min="9220" max="9220" width="12.5703125" customWidth="1"/>
    <col min="9221" max="9221" width="12.85546875" customWidth="1"/>
    <col min="9222" max="9222" width="20.140625" customWidth="1"/>
    <col min="9223" max="9223" width="28.7109375" customWidth="1"/>
    <col min="9473" max="9473" width="5.140625" customWidth="1"/>
    <col min="9474" max="9474" width="26.28515625" customWidth="1"/>
    <col min="9475" max="9475" width="30.140625" customWidth="1"/>
    <col min="9476" max="9476" width="12.5703125" customWidth="1"/>
    <col min="9477" max="9477" width="12.85546875" customWidth="1"/>
    <col min="9478" max="9478" width="20.140625" customWidth="1"/>
    <col min="9479" max="9479" width="28.7109375" customWidth="1"/>
    <col min="9729" max="9729" width="5.140625" customWidth="1"/>
    <col min="9730" max="9730" width="26.28515625" customWidth="1"/>
    <col min="9731" max="9731" width="30.140625" customWidth="1"/>
    <col min="9732" max="9732" width="12.5703125" customWidth="1"/>
    <col min="9733" max="9733" width="12.85546875" customWidth="1"/>
    <col min="9734" max="9734" width="20.140625" customWidth="1"/>
    <col min="9735" max="9735" width="28.7109375" customWidth="1"/>
    <col min="9985" max="9985" width="5.140625" customWidth="1"/>
    <col min="9986" max="9986" width="26.28515625" customWidth="1"/>
    <col min="9987" max="9987" width="30.140625" customWidth="1"/>
    <col min="9988" max="9988" width="12.5703125" customWidth="1"/>
    <col min="9989" max="9989" width="12.85546875" customWidth="1"/>
    <col min="9990" max="9990" width="20.140625" customWidth="1"/>
    <col min="9991" max="9991" width="28.7109375" customWidth="1"/>
    <col min="10241" max="10241" width="5.140625" customWidth="1"/>
    <col min="10242" max="10242" width="26.28515625" customWidth="1"/>
    <col min="10243" max="10243" width="30.140625" customWidth="1"/>
    <col min="10244" max="10244" width="12.5703125" customWidth="1"/>
    <col min="10245" max="10245" width="12.85546875" customWidth="1"/>
    <col min="10246" max="10246" width="20.140625" customWidth="1"/>
    <col min="10247" max="10247" width="28.7109375" customWidth="1"/>
    <col min="10497" max="10497" width="5.140625" customWidth="1"/>
    <col min="10498" max="10498" width="26.28515625" customWidth="1"/>
    <col min="10499" max="10499" width="30.140625" customWidth="1"/>
    <col min="10500" max="10500" width="12.5703125" customWidth="1"/>
    <col min="10501" max="10501" width="12.85546875" customWidth="1"/>
    <col min="10502" max="10502" width="20.140625" customWidth="1"/>
    <col min="10503" max="10503" width="28.7109375" customWidth="1"/>
    <col min="10753" max="10753" width="5.140625" customWidth="1"/>
    <col min="10754" max="10754" width="26.28515625" customWidth="1"/>
    <col min="10755" max="10755" width="30.140625" customWidth="1"/>
    <col min="10756" max="10756" width="12.5703125" customWidth="1"/>
    <col min="10757" max="10757" width="12.85546875" customWidth="1"/>
    <col min="10758" max="10758" width="20.140625" customWidth="1"/>
    <col min="10759" max="10759" width="28.7109375" customWidth="1"/>
    <col min="11009" max="11009" width="5.140625" customWidth="1"/>
    <col min="11010" max="11010" width="26.28515625" customWidth="1"/>
    <col min="11011" max="11011" width="30.140625" customWidth="1"/>
    <col min="11012" max="11012" width="12.5703125" customWidth="1"/>
    <col min="11013" max="11013" width="12.85546875" customWidth="1"/>
    <col min="11014" max="11014" width="20.140625" customWidth="1"/>
    <col min="11015" max="11015" width="28.7109375" customWidth="1"/>
    <col min="11265" max="11265" width="5.140625" customWidth="1"/>
    <col min="11266" max="11266" width="26.28515625" customWidth="1"/>
    <col min="11267" max="11267" width="30.140625" customWidth="1"/>
    <col min="11268" max="11268" width="12.5703125" customWidth="1"/>
    <col min="11269" max="11269" width="12.85546875" customWidth="1"/>
    <col min="11270" max="11270" width="20.140625" customWidth="1"/>
    <col min="11271" max="11271" width="28.7109375" customWidth="1"/>
    <col min="11521" max="11521" width="5.140625" customWidth="1"/>
    <col min="11522" max="11522" width="26.28515625" customWidth="1"/>
    <col min="11523" max="11523" width="30.140625" customWidth="1"/>
    <col min="11524" max="11524" width="12.5703125" customWidth="1"/>
    <col min="11525" max="11525" width="12.85546875" customWidth="1"/>
    <col min="11526" max="11526" width="20.140625" customWidth="1"/>
    <col min="11527" max="11527" width="28.7109375" customWidth="1"/>
    <col min="11777" max="11777" width="5.140625" customWidth="1"/>
    <col min="11778" max="11778" width="26.28515625" customWidth="1"/>
    <col min="11779" max="11779" width="30.140625" customWidth="1"/>
    <col min="11780" max="11780" width="12.5703125" customWidth="1"/>
    <col min="11781" max="11781" width="12.85546875" customWidth="1"/>
    <col min="11782" max="11782" width="20.140625" customWidth="1"/>
    <col min="11783" max="11783" width="28.7109375" customWidth="1"/>
    <col min="12033" max="12033" width="5.140625" customWidth="1"/>
    <col min="12034" max="12034" width="26.28515625" customWidth="1"/>
    <col min="12035" max="12035" width="30.140625" customWidth="1"/>
    <col min="12036" max="12036" width="12.5703125" customWidth="1"/>
    <col min="12037" max="12037" width="12.85546875" customWidth="1"/>
    <col min="12038" max="12038" width="20.140625" customWidth="1"/>
    <col min="12039" max="12039" width="28.7109375" customWidth="1"/>
    <col min="12289" max="12289" width="5.140625" customWidth="1"/>
    <col min="12290" max="12290" width="26.28515625" customWidth="1"/>
    <col min="12291" max="12291" width="30.140625" customWidth="1"/>
    <col min="12292" max="12292" width="12.5703125" customWidth="1"/>
    <col min="12293" max="12293" width="12.85546875" customWidth="1"/>
    <col min="12294" max="12294" width="20.140625" customWidth="1"/>
    <col min="12295" max="12295" width="28.7109375" customWidth="1"/>
    <col min="12545" max="12545" width="5.140625" customWidth="1"/>
    <col min="12546" max="12546" width="26.28515625" customWidth="1"/>
    <col min="12547" max="12547" width="30.140625" customWidth="1"/>
    <col min="12548" max="12548" width="12.5703125" customWidth="1"/>
    <col min="12549" max="12549" width="12.85546875" customWidth="1"/>
    <col min="12550" max="12550" width="20.140625" customWidth="1"/>
    <col min="12551" max="12551" width="28.7109375" customWidth="1"/>
    <col min="12801" max="12801" width="5.140625" customWidth="1"/>
    <col min="12802" max="12802" width="26.28515625" customWidth="1"/>
    <col min="12803" max="12803" width="30.140625" customWidth="1"/>
    <col min="12804" max="12804" width="12.5703125" customWidth="1"/>
    <col min="12805" max="12805" width="12.85546875" customWidth="1"/>
    <col min="12806" max="12806" width="20.140625" customWidth="1"/>
    <col min="12807" max="12807" width="28.7109375" customWidth="1"/>
    <col min="13057" max="13057" width="5.140625" customWidth="1"/>
    <col min="13058" max="13058" width="26.28515625" customWidth="1"/>
    <col min="13059" max="13059" width="30.140625" customWidth="1"/>
    <col min="13060" max="13060" width="12.5703125" customWidth="1"/>
    <col min="13061" max="13061" width="12.85546875" customWidth="1"/>
    <col min="13062" max="13062" width="20.140625" customWidth="1"/>
    <col min="13063" max="13063" width="28.7109375" customWidth="1"/>
    <col min="13313" max="13313" width="5.140625" customWidth="1"/>
    <col min="13314" max="13314" width="26.28515625" customWidth="1"/>
    <col min="13315" max="13315" width="30.140625" customWidth="1"/>
    <col min="13316" max="13316" width="12.5703125" customWidth="1"/>
    <col min="13317" max="13317" width="12.85546875" customWidth="1"/>
    <col min="13318" max="13318" width="20.140625" customWidth="1"/>
    <col min="13319" max="13319" width="28.7109375" customWidth="1"/>
    <col min="13569" max="13569" width="5.140625" customWidth="1"/>
    <col min="13570" max="13570" width="26.28515625" customWidth="1"/>
    <col min="13571" max="13571" width="30.140625" customWidth="1"/>
    <col min="13572" max="13572" width="12.5703125" customWidth="1"/>
    <col min="13573" max="13573" width="12.85546875" customWidth="1"/>
    <col min="13574" max="13574" width="20.140625" customWidth="1"/>
    <col min="13575" max="13575" width="28.7109375" customWidth="1"/>
    <col min="13825" max="13825" width="5.140625" customWidth="1"/>
    <col min="13826" max="13826" width="26.28515625" customWidth="1"/>
    <col min="13827" max="13827" width="30.140625" customWidth="1"/>
    <col min="13828" max="13828" width="12.5703125" customWidth="1"/>
    <col min="13829" max="13829" width="12.85546875" customWidth="1"/>
    <col min="13830" max="13830" width="20.140625" customWidth="1"/>
    <col min="13831" max="13831" width="28.7109375" customWidth="1"/>
    <col min="14081" max="14081" width="5.140625" customWidth="1"/>
    <col min="14082" max="14082" width="26.28515625" customWidth="1"/>
    <col min="14083" max="14083" width="30.140625" customWidth="1"/>
    <col min="14084" max="14084" width="12.5703125" customWidth="1"/>
    <col min="14085" max="14085" width="12.85546875" customWidth="1"/>
    <col min="14086" max="14086" width="20.140625" customWidth="1"/>
    <col min="14087" max="14087" width="28.7109375" customWidth="1"/>
    <col min="14337" max="14337" width="5.140625" customWidth="1"/>
    <col min="14338" max="14338" width="26.28515625" customWidth="1"/>
    <col min="14339" max="14339" width="30.140625" customWidth="1"/>
    <col min="14340" max="14340" width="12.5703125" customWidth="1"/>
    <col min="14341" max="14341" width="12.85546875" customWidth="1"/>
    <col min="14342" max="14342" width="20.140625" customWidth="1"/>
    <col min="14343" max="14343" width="28.7109375" customWidth="1"/>
    <col min="14593" max="14593" width="5.140625" customWidth="1"/>
    <col min="14594" max="14594" width="26.28515625" customWidth="1"/>
    <col min="14595" max="14595" width="30.140625" customWidth="1"/>
    <col min="14596" max="14596" width="12.5703125" customWidth="1"/>
    <col min="14597" max="14597" width="12.85546875" customWidth="1"/>
    <col min="14598" max="14598" width="20.140625" customWidth="1"/>
    <col min="14599" max="14599" width="28.7109375" customWidth="1"/>
    <col min="14849" max="14849" width="5.140625" customWidth="1"/>
    <col min="14850" max="14850" width="26.28515625" customWidth="1"/>
    <col min="14851" max="14851" width="30.140625" customWidth="1"/>
    <col min="14852" max="14852" width="12.5703125" customWidth="1"/>
    <col min="14853" max="14853" width="12.85546875" customWidth="1"/>
    <col min="14854" max="14854" width="20.140625" customWidth="1"/>
    <col min="14855" max="14855" width="28.7109375" customWidth="1"/>
    <col min="15105" max="15105" width="5.140625" customWidth="1"/>
    <col min="15106" max="15106" width="26.28515625" customWidth="1"/>
    <col min="15107" max="15107" width="30.140625" customWidth="1"/>
    <col min="15108" max="15108" width="12.5703125" customWidth="1"/>
    <col min="15109" max="15109" width="12.85546875" customWidth="1"/>
    <col min="15110" max="15110" width="20.140625" customWidth="1"/>
    <col min="15111" max="15111" width="28.7109375" customWidth="1"/>
    <col min="15361" max="15361" width="5.140625" customWidth="1"/>
    <col min="15362" max="15362" width="26.28515625" customWidth="1"/>
    <col min="15363" max="15363" width="30.140625" customWidth="1"/>
    <col min="15364" max="15364" width="12.5703125" customWidth="1"/>
    <col min="15365" max="15365" width="12.85546875" customWidth="1"/>
    <col min="15366" max="15366" width="20.140625" customWidth="1"/>
    <col min="15367" max="15367" width="28.7109375" customWidth="1"/>
    <col min="15617" max="15617" width="5.140625" customWidth="1"/>
    <col min="15618" max="15618" width="26.28515625" customWidth="1"/>
    <col min="15619" max="15619" width="30.140625" customWidth="1"/>
    <col min="15620" max="15620" width="12.5703125" customWidth="1"/>
    <col min="15621" max="15621" width="12.85546875" customWidth="1"/>
    <col min="15622" max="15622" width="20.140625" customWidth="1"/>
    <col min="15623" max="15623" width="28.7109375" customWidth="1"/>
    <col min="15873" max="15873" width="5.140625" customWidth="1"/>
    <col min="15874" max="15874" width="26.28515625" customWidth="1"/>
    <col min="15875" max="15875" width="30.140625" customWidth="1"/>
    <col min="15876" max="15876" width="12.5703125" customWidth="1"/>
    <col min="15877" max="15877" width="12.85546875" customWidth="1"/>
    <col min="15878" max="15878" width="20.140625" customWidth="1"/>
    <col min="15879" max="15879" width="28.7109375" customWidth="1"/>
    <col min="16129" max="16129" width="5.140625" customWidth="1"/>
    <col min="16130" max="16130" width="26.28515625" customWidth="1"/>
    <col min="16131" max="16131" width="30.140625" customWidth="1"/>
    <col min="16132" max="16132" width="12.5703125" customWidth="1"/>
    <col min="16133" max="16133" width="12.85546875" customWidth="1"/>
    <col min="16134" max="16134" width="20.140625" customWidth="1"/>
    <col min="16135" max="16135" width="28.7109375" customWidth="1"/>
  </cols>
  <sheetData>
    <row r="1" spans="1:84" s="1" customFormat="1" ht="38.25" customHeight="1">
      <c r="A1" s="51" t="s">
        <v>0</v>
      </c>
      <c r="B1" s="51"/>
      <c r="C1" s="51"/>
      <c r="D1" s="51"/>
      <c r="E1" s="51"/>
      <c r="F1" s="51"/>
      <c r="G1" s="51"/>
    </row>
    <row r="2" spans="1:84" s="7" customFormat="1" ht="53.25" customHeight="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17" t="s">
        <v>405</v>
      </c>
    </row>
    <row r="3" spans="1:84" s="7" customFormat="1" ht="19.5" customHeight="1">
      <c r="A3" s="8"/>
      <c r="B3" s="8"/>
      <c r="C3" s="8"/>
      <c r="D3" s="9">
        <f>SUBTOTAL(9,D4:D1172)</f>
        <v>378483.67999999993</v>
      </c>
      <c r="E3" s="10"/>
      <c r="F3" s="10"/>
      <c r="G3" s="11"/>
      <c r="H3" s="17"/>
    </row>
    <row r="4" spans="1:84" s="17" customFormat="1" ht="29.25" customHeight="1">
      <c r="A4" s="12">
        <v>607</v>
      </c>
      <c r="B4" s="12" t="s">
        <v>8</v>
      </c>
      <c r="C4" s="12" t="s">
        <v>9</v>
      </c>
      <c r="D4" s="13">
        <v>4548</v>
      </c>
      <c r="E4" s="14" t="s">
        <v>10</v>
      </c>
      <c r="F4" s="15" t="s">
        <v>11</v>
      </c>
      <c r="G4" s="16"/>
      <c r="H4" s="17">
        <f>758</f>
        <v>758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</row>
    <row r="5" spans="1:84" s="17" customFormat="1" ht="30.75" customHeight="1">
      <c r="A5" s="12">
        <v>608</v>
      </c>
      <c r="B5" s="12" t="s">
        <v>12</v>
      </c>
      <c r="C5" s="12" t="s">
        <v>13</v>
      </c>
      <c r="D5" s="13">
        <v>22794.959999999999</v>
      </c>
      <c r="E5" s="14" t="s">
        <v>10</v>
      </c>
      <c r="F5" s="15" t="s">
        <v>14</v>
      </c>
      <c r="G5" s="43"/>
      <c r="H5" s="17">
        <f>3799.16</f>
        <v>3799.16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</row>
    <row r="6" spans="1:84" s="17" customFormat="1" ht="27" customHeight="1">
      <c r="A6" s="12">
        <v>609</v>
      </c>
      <c r="B6" s="12" t="s">
        <v>15</v>
      </c>
      <c r="C6" s="12" t="s">
        <v>16</v>
      </c>
      <c r="D6" s="13">
        <v>14374</v>
      </c>
      <c r="E6" s="14" t="s">
        <v>10</v>
      </c>
      <c r="F6" s="15" t="s">
        <v>17</v>
      </c>
      <c r="G6" s="16"/>
      <c r="H6" s="17">
        <f>1309.04</f>
        <v>1309.04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</row>
    <row r="7" spans="1:84" s="17" customFormat="1" ht="32.25" customHeight="1">
      <c r="A7" s="44">
        <v>610</v>
      </c>
      <c r="B7" s="12" t="s">
        <v>18</v>
      </c>
      <c r="C7" s="12" t="s">
        <v>19</v>
      </c>
      <c r="D7" s="13">
        <v>1800</v>
      </c>
      <c r="E7" s="14" t="s">
        <v>10</v>
      </c>
      <c r="F7" s="15" t="s">
        <v>20</v>
      </c>
      <c r="G7" s="1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</row>
    <row r="8" spans="1:84" s="17" customFormat="1" ht="30" customHeight="1">
      <c r="A8" s="12">
        <v>611</v>
      </c>
      <c r="B8" s="12" t="s">
        <v>21</v>
      </c>
      <c r="C8" s="18" t="s">
        <v>22</v>
      </c>
      <c r="D8" s="13">
        <v>20000</v>
      </c>
      <c r="E8" s="14" t="s">
        <v>10</v>
      </c>
      <c r="F8" s="15" t="s">
        <v>23</v>
      </c>
      <c r="G8" s="16"/>
      <c r="H8" s="17">
        <f>29</f>
        <v>29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</row>
    <row r="9" spans="1:84" s="17" customFormat="1" ht="23.25" customHeight="1">
      <c r="A9" s="12">
        <v>612</v>
      </c>
      <c r="B9" s="12" t="s">
        <v>24</v>
      </c>
      <c r="C9" s="12" t="s">
        <v>16</v>
      </c>
      <c r="D9" s="13">
        <v>602</v>
      </c>
      <c r="E9" s="14" t="s">
        <v>10</v>
      </c>
      <c r="F9" s="15" t="s">
        <v>25</v>
      </c>
      <c r="G9" s="16"/>
      <c r="H9" s="17">
        <f>41.1</f>
        <v>41.1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</row>
    <row r="10" spans="1:84" s="17" customFormat="1" ht="39" customHeight="1">
      <c r="A10" s="12">
        <v>613</v>
      </c>
      <c r="B10" s="12" t="s">
        <v>24</v>
      </c>
      <c r="C10" s="12" t="s">
        <v>26</v>
      </c>
      <c r="D10" s="13">
        <v>720</v>
      </c>
      <c r="E10" s="14" t="s">
        <v>27</v>
      </c>
      <c r="F10" s="15"/>
      <c r="G10" s="19" t="s">
        <v>28</v>
      </c>
      <c r="H10" s="17">
        <f>180</f>
        <v>180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</row>
    <row r="11" spans="1:84" s="17" customFormat="1" ht="39" customHeight="1">
      <c r="A11" s="12">
        <v>614</v>
      </c>
      <c r="B11" s="12" t="s">
        <v>29</v>
      </c>
      <c r="C11" s="12" t="s">
        <v>30</v>
      </c>
      <c r="D11" s="13">
        <v>1668</v>
      </c>
      <c r="E11" s="14" t="s">
        <v>27</v>
      </c>
      <c r="F11" s="15"/>
      <c r="G11" s="20" t="s">
        <v>31</v>
      </c>
      <c r="H11" s="17">
        <f>278</f>
        <v>278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</row>
    <row r="12" spans="1:84" s="17" customFormat="1" ht="39" customHeight="1">
      <c r="A12" s="12">
        <v>615</v>
      </c>
      <c r="B12" s="12" t="s">
        <v>29</v>
      </c>
      <c r="C12" s="12" t="s">
        <v>26</v>
      </c>
      <c r="D12" s="13">
        <v>7920</v>
      </c>
      <c r="E12" s="14" t="s">
        <v>27</v>
      </c>
      <c r="F12" s="15"/>
      <c r="G12" s="19" t="s">
        <v>28</v>
      </c>
      <c r="H12" s="17">
        <f>1320</f>
        <v>1320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</row>
    <row r="13" spans="1:84" s="17" customFormat="1" ht="39" customHeight="1">
      <c r="A13" s="12">
        <v>616</v>
      </c>
      <c r="B13" s="12" t="s">
        <v>32</v>
      </c>
      <c r="C13" s="12" t="s">
        <v>33</v>
      </c>
      <c r="D13" s="13">
        <v>200</v>
      </c>
      <c r="E13" s="14" t="s">
        <v>27</v>
      </c>
      <c r="F13" s="15"/>
      <c r="G13" s="21" t="s">
        <v>34</v>
      </c>
      <c r="H13" s="17">
        <f>200</f>
        <v>200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</row>
    <row r="14" spans="1:84" s="17" customFormat="1" ht="39" customHeight="1">
      <c r="A14" s="12">
        <v>1</v>
      </c>
      <c r="B14" s="12" t="s">
        <v>35</v>
      </c>
      <c r="C14" s="12" t="s">
        <v>36</v>
      </c>
      <c r="D14" s="13">
        <v>50</v>
      </c>
      <c r="E14" s="14" t="s">
        <v>27</v>
      </c>
      <c r="F14" s="15"/>
      <c r="G14" s="20" t="s">
        <v>31</v>
      </c>
      <c r="H14" s="17">
        <f>50</f>
        <v>50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</row>
    <row r="15" spans="1:84" s="17" customFormat="1" ht="39" customHeight="1">
      <c r="A15" s="44">
        <v>2</v>
      </c>
      <c r="B15" s="12" t="s">
        <v>37</v>
      </c>
      <c r="C15" s="12" t="s">
        <v>38</v>
      </c>
      <c r="D15" s="13">
        <v>660</v>
      </c>
      <c r="E15" s="14" t="s">
        <v>27</v>
      </c>
      <c r="F15" s="15"/>
      <c r="G15" s="20" t="s">
        <v>31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</row>
    <row r="16" spans="1:84" s="17" customFormat="1" ht="39" customHeight="1">
      <c r="A16" s="12">
        <v>3</v>
      </c>
      <c r="B16" s="12" t="s">
        <v>39</v>
      </c>
      <c r="C16" s="12" t="s">
        <v>40</v>
      </c>
      <c r="D16" s="13">
        <v>867.5</v>
      </c>
      <c r="E16" s="14" t="s">
        <v>27</v>
      </c>
      <c r="F16" s="15"/>
      <c r="G16" s="20" t="s">
        <v>31</v>
      </c>
      <c r="H16" s="17">
        <f>867.5</f>
        <v>867.5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</row>
    <row r="17" spans="1:84" s="17" customFormat="1" ht="39" customHeight="1">
      <c r="A17" s="12">
        <v>4</v>
      </c>
      <c r="B17" s="12" t="s">
        <v>41</v>
      </c>
      <c r="C17" s="12" t="s">
        <v>42</v>
      </c>
      <c r="D17" s="13">
        <v>31054.62</v>
      </c>
      <c r="E17" s="14" t="s">
        <v>27</v>
      </c>
      <c r="F17" s="15"/>
      <c r="G17" s="19" t="s">
        <v>43</v>
      </c>
      <c r="H17" s="17">
        <f>31054.62</f>
        <v>31054.62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</row>
    <row r="18" spans="1:84" s="17" customFormat="1" ht="39" customHeight="1">
      <c r="A18" s="12">
        <v>5</v>
      </c>
      <c r="B18" s="12" t="s">
        <v>44</v>
      </c>
      <c r="C18" s="12" t="s">
        <v>45</v>
      </c>
      <c r="D18" s="13">
        <v>996</v>
      </c>
      <c r="E18" s="14" t="s">
        <v>10</v>
      </c>
      <c r="F18" s="22" t="s">
        <v>46</v>
      </c>
      <c r="G18" s="16"/>
      <c r="H18" s="17">
        <f>695.97</f>
        <v>695.97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</row>
    <row r="19" spans="1:84" s="17" customFormat="1" ht="39" customHeight="1">
      <c r="A19" s="12">
        <v>6</v>
      </c>
      <c r="B19" s="12" t="s">
        <v>47</v>
      </c>
      <c r="C19" s="12" t="s">
        <v>48</v>
      </c>
      <c r="D19" s="13">
        <v>3360</v>
      </c>
      <c r="E19" s="14" t="s">
        <v>27</v>
      </c>
      <c r="F19" s="15"/>
      <c r="G19" s="20" t="s">
        <v>31</v>
      </c>
      <c r="H19" s="17">
        <f>420</f>
        <v>420</v>
      </c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</row>
    <row r="20" spans="1:84" s="17" customFormat="1" ht="39" customHeight="1">
      <c r="A20" s="12">
        <v>7</v>
      </c>
      <c r="B20" s="12" t="s">
        <v>49</v>
      </c>
      <c r="C20" s="12" t="s">
        <v>50</v>
      </c>
      <c r="D20" s="13">
        <v>3649.74</v>
      </c>
      <c r="E20" s="14" t="s">
        <v>27</v>
      </c>
      <c r="F20" s="15"/>
      <c r="G20" s="20" t="s">
        <v>51</v>
      </c>
      <c r="H20" s="17">
        <f>3649.74</f>
        <v>3649.74</v>
      </c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</row>
    <row r="21" spans="1:84" s="17" customFormat="1" ht="39" customHeight="1">
      <c r="A21" s="12">
        <v>8</v>
      </c>
      <c r="B21" s="12" t="s">
        <v>52</v>
      </c>
      <c r="C21" s="12" t="s">
        <v>33</v>
      </c>
      <c r="D21" s="13">
        <v>9000</v>
      </c>
      <c r="E21" s="14" t="s">
        <v>53</v>
      </c>
      <c r="F21" s="15" t="s">
        <v>54</v>
      </c>
      <c r="G21" s="19" t="s">
        <v>34</v>
      </c>
      <c r="H21" s="17">
        <f>708.95</f>
        <v>708.95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</row>
    <row r="22" spans="1:84" s="17" customFormat="1" ht="39" customHeight="1">
      <c r="A22" s="12">
        <v>9</v>
      </c>
      <c r="B22" s="12" t="s">
        <v>41</v>
      </c>
      <c r="C22" s="12" t="s">
        <v>55</v>
      </c>
      <c r="D22" s="13">
        <v>996.22</v>
      </c>
      <c r="E22" s="14" t="s">
        <v>27</v>
      </c>
      <c r="F22" s="15"/>
      <c r="G22" s="19" t="s">
        <v>43</v>
      </c>
      <c r="H22" s="17">
        <f>996.85</f>
        <v>996.85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</row>
    <row r="23" spans="1:84" s="17" customFormat="1" ht="39" customHeight="1">
      <c r="A23" s="12">
        <v>10</v>
      </c>
      <c r="B23" s="12" t="s">
        <v>56</v>
      </c>
      <c r="C23" s="12" t="s">
        <v>57</v>
      </c>
      <c r="D23" s="13">
        <v>9912</v>
      </c>
      <c r="E23" s="14" t="s">
        <v>10</v>
      </c>
      <c r="F23" s="15" t="s">
        <v>58</v>
      </c>
      <c r="G23" s="16"/>
      <c r="H23" s="17">
        <f>1039.16</f>
        <v>1039.1600000000001</v>
      </c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</row>
    <row r="24" spans="1:84" s="17" customFormat="1" ht="39" customHeight="1">
      <c r="A24" s="12">
        <v>11</v>
      </c>
      <c r="B24" s="12" t="s">
        <v>59</v>
      </c>
      <c r="C24" s="12" t="s">
        <v>60</v>
      </c>
      <c r="D24" s="13">
        <v>21114.82</v>
      </c>
      <c r="E24" s="14" t="s">
        <v>27</v>
      </c>
      <c r="F24" s="15"/>
      <c r="G24" s="19" t="s">
        <v>43</v>
      </c>
      <c r="H24" s="17">
        <f>21114.82</f>
        <v>21114.82</v>
      </c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</row>
    <row r="25" spans="1:84" s="17" customFormat="1" ht="39" customHeight="1">
      <c r="A25" s="12">
        <v>12</v>
      </c>
      <c r="B25" s="12" t="s">
        <v>59</v>
      </c>
      <c r="C25" s="12" t="s">
        <v>55</v>
      </c>
      <c r="D25" s="13">
        <v>560.92999999999995</v>
      </c>
      <c r="E25" s="14" t="s">
        <v>27</v>
      </c>
      <c r="F25" s="15"/>
      <c r="G25" s="19" t="s">
        <v>43</v>
      </c>
      <c r="H25" s="17">
        <f>560.93</f>
        <v>560.92999999999995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</row>
    <row r="26" spans="1:84" s="17" customFormat="1" ht="39" customHeight="1">
      <c r="A26" s="12">
        <v>13</v>
      </c>
      <c r="B26" s="12" t="s">
        <v>61</v>
      </c>
      <c r="C26" s="12" t="s">
        <v>62</v>
      </c>
      <c r="D26" s="13">
        <v>1077.5999999999999</v>
      </c>
      <c r="E26" s="14" t="s">
        <v>27</v>
      </c>
      <c r="F26" s="15"/>
      <c r="G26" s="23" t="s">
        <v>63</v>
      </c>
      <c r="H26" s="17">
        <f>1077.6</f>
        <v>1077.5999999999999</v>
      </c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</row>
    <row r="27" spans="1:84" s="17" customFormat="1" ht="39" customHeight="1">
      <c r="A27" s="12">
        <v>14</v>
      </c>
      <c r="B27" s="12" t="s">
        <v>64</v>
      </c>
      <c r="C27" s="12" t="s">
        <v>65</v>
      </c>
      <c r="D27" s="13">
        <v>799</v>
      </c>
      <c r="E27" s="14" t="s">
        <v>10</v>
      </c>
      <c r="F27" s="24" t="s">
        <v>66</v>
      </c>
      <c r="G27" s="16"/>
      <c r="H27" s="17">
        <f>722.47</f>
        <v>722.47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</row>
    <row r="28" spans="1:84" s="17" customFormat="1" ht="39" customHeight="1">
      <c r="A28" s="12">
        <v>15</v>
      </c>
      <c r="B28" s="25" t="s">
        <v>67</v>
      </c>
      <c r="C28" s="12" t="s">
        <v>68</v>
      </c>
      <c r="D28" s="13">
        <v>295</v>
      </c>
      <c r="E28" s="14" t="s">
        <v>27</v>
      </c>
      <c r="F28" s="15"/>
      <c r="G28" s="20" t="s">
        <v>31</v>
      </c>
      <c r="H28" s="17">
        <f>295</f>
        <v>295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</row>
    <row r="29" spans="1:84" s="17" customFormat="1" ht="39" customHeight="1">
      <c r="A29" s="12">
        <v>16</v>
      </c>
      <c r="B29" s="12" t="s">
        <v>69</v>
      </c>
      <c r="C29" s="12" t="s">
        <v>70</v>
      </c>
      <c r="D29" s="13">
        <v>2551.58</v>
      </c>
      <c r="E29" s="14" t="s">
        <v>27</v>
      </c>
      <c r="F29" s="15"/>
      <c r="G29" s="20" t="s">
        <v>51</v>
      </c>
      <c r="H29" s="17">
        <f>2551.58</f>
        <v>2551.58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</row>
    <row r="30" spans="1:84" s="17" customFormat="1" ht="39" customHeight="1">
      <c r="A30" s="12">
        <v>17</v>
      </c>
      <c r="B30" s="12" t="s">
        <v>71</v>
      </c>
      <c r="C30" s="12" t="s">
        <v>72</v>
      </c>
      <c r="D30" s="13">
        <v>10000</v>
      </c>
      <c r="E30" s="14" t="s">
        <v>27</v>
      </c>
      <c r="F30" s="15"/>
      <c r="G30" s="20" t="s">
        <v>51</v>
      </c>
      <c r="H30" s="17">
        <f>3243.46</f>
        <v>3243.46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</row>
    <row r="31" spans="1:84" s="17" customFormat="1" ht="39" customHeight="1">
      <c r="A31" s="12">
        <v>18</v>
      </c>
      <c r="B31" s="12" t="s">
        <v>73</v>
      </c>
      <c r="C31" s="12" t="s">
        <v>50</v>
      </c>
      <c r="D31" s="13">
        <v>2199.52</v>
      </c>
      <c r="E31" s="14" t="s">
        <v>27</v>
      </c>
      <c r="F31" s="15"/>
      <c r="G31" s="20" t="s">
        <v>51</v>
      </c>
      <c r="H31" s="17">
        <f>2199.52</f>
        <v>2199.52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</row>
    <row r="32" spans="1:84" s="17" customFormat="1" ht="39" customHeight="1">
      <c r="A32" s="12">
        <v>19</v>
      </c>
      <c r="B32" s="12" t="s">
        <v>74</v>
      </c>
      <c r="C32" s="12" t="s">
        <v>70</v>
      </c>
      <c r="D32" s="13">
        <v>1615</v>
      </c>
      <c r="E32" s="14" t="s">
        <v>27</v>
      </c>
      <c r="F32" s="15"/>
      <c r="G32" s="20" t="s">
        <v>51</v>
      </c>
      <c r="H32" s="17">
        <f>1615</f>
        <v>1615</v>
      </c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</row>
    <row r="33" spans="1:84" s="17" customFormat="1" ht="39" customHeight="1">
      <c r="A33" s="12">
        <v>20</v>
      </c>
      <c r="B33" s="12" t="s">
        <v>74</v>
      </c>
      <c r="C33" s="12" t="s">
        <v>72</v>
      </c>
      <c r="D33" s="13">
        <v>300</v>
      </c>
      <c r="E33" s="14" t="s">
        <v>27</v>
      </c>
      <c r="F33" s="15"/>
      <c r="G33" s="20" t="s">
        <v>51</v>
      </c>
      <c r="H33" s="17">
        <f>300</f>
        <v>300</v>
      </c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</row>
    <row r="34" spans="1:84" s="17" customFormat="1" ht="39" customHeight="1">
      <c r="A34" s="12">
        <v>21</v>
      </c>
      <c r="B34" s="12" t="s">
        <v>75</v>
      </c>
      <c r="C34" s="12" t="s">
        <v>70</v>
      </c>
      <c r="D34" s="13">
        <v>690</v>
      </c>
      <c r="E34" s="14" t="s">
        <v>27</v>
      </c>
      <c r="F34" s="15"/>
      <c r="G34" s="20" t="s">
        <v>51</v>
      </c>
      <c r="H34" s="17">
        <f>690</f>
        <v>690</v>
      </c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</row>
    <row r="35" spans="1:84" s="17" customFormat="1" ht="39" customHeight="1">
      <c r="A35" s="12">
        <v>22</v>
      </c>
      <c r="B35" s="12" t="s">
        <v>76</v>
      </c>
      <c r="C35" s="12" t="s">
        <v>77</v>
      </c>
      <c r="D35" s="13">
        <v>1215</v>
      </c>
      <c r="E35" s="14" t="s">
        <v>27</v>
      </c>
      <c r="F35" s="15"/>
      <c r="G35" s="20" t="s">
        <v>51</v>
      </c>
      <c r="H35" s="17">
        <f>1215</f>
        <v>1215</v>
      </c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</row>
    <row r="36" spans="1:84" s="17" customFormat="1" ht="39" customHeight="1">
      <c r="A36" s="12">
        <v>23</v>
      </c>
      <c r="B36" s="12" t="s">
        <v>78</v>
      </c>
      <c r="C36" s="12" t="s">
        <v>79</v>
      </c>
      <c r="D36" s="13">
        <v>20946.86</v>
      </c>
      <c r="E36" s="14" t="s">
        <v>27</v>
      </c>
      <c r="F36" s="15"/>
      <c r="G36" s="19" t="s">
        <v>43</v>
      </c>
      <c r="H36" s="17">
        <f>20946.86</f>
        <v>20946.86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</row>
    <row r="37" spans="1:84" s="17" customFormat="1" ht="39" customHeight="1">
      <c r="A37" s="12">
        <v>24</v>
      </c>
      <c r="B37" s="12" t="s">
        <v>78</v>
      </c>
      <c r="C37" s="12" t="s">
        <v>80</v>
      </c>
      <c r="D37" s="13">
        <v>690</v>
      </c>
      <c r="E37" s="14" t="s">
        <v>27</v>
      </c>
      <c r="F37" s="15"/>
      <c r="G37" s="19" t="s">
        <v>43</v>
      </c>
      <c r="H37" s="17">
        <f>555.33</f>
        <v>555.33000000000004</v>
      </c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</row>
    <row r="38" spans="1:84" s="17" customFormat="1" ht="39" customHeight="1">
      <c r="A38" s="12">
        <v>25</v>
      </c>
      <c r="B38" s="12" t="s">
        <v>81</v>
      </c>
      <c r="C38" s="12" t="s">
        <v>70</v>
      </c>
      <c r="D38" s="13">
        <v>3285.24</v>
      </c>
      <c r="E38" s="14" t="s">
        <v>27</v>
      </c>
      <c r="F38" s="15"/>
      <c r="G38" s="20" t="s">
        <v>51</v>
      </c>
      <c r="H38" s="17">
        <f>3285.24</f>
        <v>3285.24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</row>
    <row r="39" spans="1:84" s="17" customFormat="1" ht="39" customHeight="1">
      <c r="A39" s="12">
        <v>26</v>
      </c>
      <c r="B39" s="12" t="s">
        <v>82</v>
      </c>
      <c r="C39" s="12" t="s">
        <v>77</v>
      </c>
      <c r="D39" s="13">
        <v>1735.78</v>
      </c>
      <c r="E39" s="14" t="s">
        <v>27</v>
      </c>
      <c r="F39" s="15"/>
      <c r="G39" s="20" t="s">
        <v>51</v>
      </c>
      <c r="H39" s="17">
        <f>1735.78</f>
        <v>1735.78</v>
      </c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</row>
    <row r="40" spans="1:84" s="17" customFormat="1" ht="39" customHeight="1">
      <c r="A40" s="12">
        <v>27</v>
      </c>
      <c r="B40" s="12" t="s">
        <v>83</v>
      </c>
      <c r="C40" s="12" t="s">
        <v>50</v>
      </c>
      <c r="D40" s="13">
        <v>2470</v>
      </c>
      <c r="E40" s="14" t="s">
        <v>27</v>
      </c>
      <c r="F40" s="15"/>
      <c r="G40" s="20" t="s">
        <v>51</v>
      </c>
      <c r="H40" s="17">
        <f>2470</f>
        <v>2470</v>
      </c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</row>
    <row r="41" spans="1:84" s="17" customFormat="1" ht="39" customHeight="1">
      <c r="A41" s="12">
        <v>28</v>
      </c>
      <c r="B41" s="12" t="s">
        <v>21</v>
      </c>
      <c r="C41" s="12" t="s">
        <v>84</v>
      </c>
      <c r="D41" s="13">
        <v>100</v>
      </c>
      <c r="E41" s="14" t="s">
        <v>27</v>
      </c>
      <c r="F41" s="15"/>
      <c r="G41" s="20" t="s">
        <v>31</v>
      </c>
      <c r="H41" s="17">
        <f>100</f>
        <v>100</v>
      </c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</row>
    <row r="42" spans="1:84" s="17" customFormat="1" ht="39" customHeight="1">
      <c r="A42" s="12">
        <v>29</v>
      </c>
      <c r="B42" s="12" t="s">
        <v>21</v>
      </c>
      <c r="C42" s="12" t="s">
        <v>85</v>
      </c>
      <c r="D42" s="13">
        <v>10</v>
      </c>
      <c r="E42" s="14" t="s">
        <v>27</v>
      </c>
      <c r="F42" s="15"/>
      <c r="G42" s="20" t="s">
        <v>31</v>
      </c>
      <c r="H42" s="17">
        <f>10</f>
        <v>10</v>
      </c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</row>
    <row r="43" spans="1:84" s="17" customFormat="1" ht="39" customHeight="1">
      <c r="A43" s="12">
        <v>30</v>
      </c>
      <c r="B43" s="12" t="s">
        <v>74</v>
      </c>
      <c r="C43" s="12" t="s">
        <v>70</v>
      </c>
      <c r="D43" s="13">
        <v>3570</v>
      </c>
      <c r="E43" s="14" t="s">
        <v>27</v>
      </c>
      <c r="F43" s="15"/>
      <c r="G43" s="20" t="s">
        <v>51</v>
      </c>
      <c r="H43" s="17">
        <f>3570</f>
        <v>3570</v>
      </c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</row>
    <row r="44" spans="1:84" s="17" customFormat="1" ht="39" customHeight="1">
      <c r="A44" s="12">
        <v>31</v>
      </c>
      <c r="B44" s="12" t="s">
        <v>74</v>
      </c>
      <c r="C44" s="12" t="s">
        <v>72</v>
      </c>
      <c r="D44" s="13">
        <v>600</v>
      </c>
      <c r="E44" s="14" t="s">
        <v>27</v>
      </c>
      <c r="F44" s="15"/>
      <c r="G44" s="20" t="s">
        <v>51</v>
      </c>
      <c r="H44" s="17">
        <f>600</f>
        <v>600</v>
      </c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</row>
    <row r="45" spans="1:84" s="17" customFormat="1" ht="39" customHeight="1">
      <c r="A45" s="12">
        <v>32</v>
      </c>
      <c r="B45" s="12" t="s">
        <v>86</v>
      </c>
      <c r="C45" s="12" t="s">
        <v>70</v>
      </c>
      <c r="D45" s="13">
        <v>1500</v>
      </c>
      <c r="E45" s="14" t="s">
        <v>27</v>
      </c>
      <c r="F45" s="15"/>
      <c r="G45" s="20" t="s">
        <v>51</v>
      </c>
      <c r="H45" s="17">
        <f>1500</f>
        <v>1500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</row>
    <row r="46" spans="1:84" s="17" customFormat="1" ht="39" customHeight="1">
      <c r="A46" s="12">
        <v>33</v>
      </c>
      <c r="B46" s="12" t="s">
        <v>87</v>
      </c>
      <c r="C46" s="12" t="s">
        <v>88</v>
      </c>
      <c r="D46" s="13">
        <v>1100</v>
      </c>
      <c r="E46" s="14" t="s">
        <v>27</v>
      </c>
      <c r="F46" s="15"/>
      <c r="G46" s="20" t="s">
        <v>31</v>
      </c>
      <c r="H46" s="17">
        <f>300</f>
        <v>300</v>
      </c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</row>
    <row r="47" spans="1:84" s="17" customFormat="1" ht="39" customHeight="1">
      <c r="A47" s="12">
        <v>34</v>
      </c>
      <c r="B47" s="12" t="s">
        <v>32</v>
      </c>
      <c r="C47" s="12" t="s">
        <v>89</v>
      </c>
      <c r="D47" s="13">
        <v>65</v>
      </c>
      <c r="E47" s="14" t="s">
        <v>27</v>
      </c>
      <c r="F47" s="15"/>
      <c r="G47" s="20" t="s">
        <v>31</v>
      </c>
      <c r="H47" s="17">
        <f>65</f>
        <v>65</v>
      </c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</row>
    <row r="48" spans="1:84" s="17" customFormat="1" ht="39" customHeight="1">
      <c r="A48" s="12">
        <v>35</v>
      </c>
      <c r="B48" s="12" t="s">
        <v>32</v>
      </c>
      <c r="C48" s="12" t="s">
        <v>26</v>
      </c>
      <c r="D48" s="13">
        <v>300</v>
      </c>
      <c r="E48" s="14" t="s">
        <v>27</v>
      </c>
      <c r="F48" s="15"/>
      <c r="G48" s="21" t="s">
        <v>28</v>
      </c>
      <c r="H48" s="17">
        <f>300</f>
        <v>300</v>
      </c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</row>
    <row r="49" spans="1:84" s="17" customFormat="1" ht="39" customHeight="1">
      <c r="A49" s="12">
        <v>36</v>
      </c>
      <c r="B49" s="12" t="s">
        <v>90</v>
      </c>
      <c r="C49" s="12" t="s">
        <v>72</v>
      </c>
      <c r="D49" s="13">
        <v>419.87</v>
      </c>
      <c r="E49" s="14" t="s">
        <v>27</v>
      </c>
      <c r="F49" s="15"/>
      <c r="G49" s="20" t="s">
        <v>51</v>
      </c>
      <c r="H49" s="17">
        <f>419.87</f>
        <v>419.87</v>
      </c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</row>
    <row r="50" spans="1:84" s="17" customFormat="1" ht="39" customHeight="1">
      <c r="A50" s="12">
        <v>37</v>
      </c>
      <c r="B50" s="12" t="s">
        <v>91</v>
      </c>
      <c r="C50" s="12" t="s">
        <v>72</v>
      </c>
      <c r="D50" s="13">
        <v>386</v>
      </c>
      <c r="E50" s="14" t="s">
        <v>27</v>
      </c>
      <c r="F50" s="15"/>
      <c r="G50" s="20" t="s">
        <v>51</v>
      </c>
      <c r="H50" s="17">
        <f>386</f>
        <v>386</v>
      </c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</row>
    <row r="51" spans="1:84" s="17" customFormat="1" ht="39" customHeight="1">
      <c r="A51" s="12">
        <v>38</v>
      </c>
      <c r="B51" s="12" t="s">
        <v>92</v>
      </c>
      <c r="C51" s="12" t="s">
        <v>72</v>
      </c>
      <c r="D51" s="13">
        <v>407.74</v>
      </c>
      <c r="E51" s="14" t="s">
        <v>27</v>
      </c>
      <c r="F51" s="15"/>
      <c r="G51" s="20" t="s">
        <v>51</v>
      </c>
      <c r="H51" s="17">
        <f>407.74</f>
        <v>407.74</v>
      </c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</row>
    <row r="52" spans="1:84" s="17" customFormat="1" ht="39" customHeight="1">
      <c r="A52" s="44">
        <v>39</v>
      </c>
      <c r="B52" s="12" t="s">
        <v>93</v>
      </c>
      <c r="C52" s="12" t="s">
        <v>94</v>
      </c>
      <c r="D52" s="13">
        <v>2650</v>
      </c>
      <c r="E52" s="14" t="s">
        <v>27</v>
      </c>
      <c r="F52" s="15"/>
      <c r="G52" s="20" t="s">
        <v>31</v>
      </c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</row>
    <row r="53" spans="1:84" s="17" customFormat="1" ht="39" customHeight="1">
      <c r="A53" s="12">
        <v>40</v>
      </c>
      <c r="B53" s="12" t="s">
        <v>95</v>
      </c>
      <c r="C53" s="12" t="s">
        <v>96</v>
      </c>
      <c r="D53" s="13">
        <v>21487.8</v>
      </c>
      <c r="E53" s="14" t="s">
        <v>97</v>
      </c>
      <c r="F53" s="22" t="s">
        <v>98</v>
      </c>
      <c r="G53" s="16"/>
      <c r="H53" s="17">
        <f>21487.8</f>
        <v>21487.8</v>
      </c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</row>
    <row r="54" spans="1:84" s="17" customFormat="1" ht="39" customHeight="1">
      <c r="A54" s="12">
        <v>41</v>
      </c>
      <c r="B54" s="12" t="s">
        <v>99</v>
      </c>
      <c r="C54" s="12" t="s">
        <v>100</v>
      </c>
      <c r="D54" s="13">
        <v>1554</v>
      </c>
      <c r="E54" s="14" t="s">
        <v>27</v>
      </c>
      <c r="F54" s="15"/>
      <c r="G54" s="20" t="s">
        <v>31</v>
      </c>
      <c r="H54" s="17">
        <f>54</f>
        <v>54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</row>
    <row r="55" spans="1:84" s="17" customFormat="1" ht="39" customHeight="1">
      <c r="A55" s="12">
        <v>42</v>
      </c>
      <c r="B55" s="12" t="s">
        <v>101</v>
      </c>
      <c r="C55" s="12" t="s">
        <v>102</v>
      </c>
      <c r="D55" s="13">
        <v>90</v>
      </c>
      <c r="E55" s="14" t="s">
        <v>27</v>
      </c>
      <c r="F55" s="15"/>
      <c r="G55" s="20" t="s">
        <v>31</v>
      </c>
      <c r="H55" s="17">
        <f>90</f>
        <v>90</v>
      </c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</row>
    <row r="56" spans="1:84" s="17" customFormat="1" ht="39" customHeight="1">
      <c r="A56" s="12">
        <v>43</v>
      </c>
      <c r="B56" s="12" t="s">
        <v>101</v>
      </c>
      <c r="C56" s="12" t="s">
        <v>103</v>
      </c>
      <c r="D56" s="13">
        <v>225</v>
      </c>
      <c r="E56" s="14" t="s">
        <v>27</v>
      </c>
      <c r="F56" s="15"/>
      <c r="G56" s="20" t="s">
        <v>31</v>
      </c>
      <c r="H56" s="17">
        <f>225</f>
        <v>225</v>
      </c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</row>
    <row r="57" spans="1:84" s="17" customFormat="1" ht="39" customHeight="1">
      <c r="A57" s="12">
        <v>44</v>
      </c>
      <c r="B57" s="26" t="s">
        <v>104</v>
      </c>
      <c r="C57" s="12" t="s">
        <v>62</v>
      </c>
      <c r="D57" s="13">
        <v>17600</v>
      </c>
      <c r="E57" s="14" t="s">
        <v>10</v>
      </c>
      <c r="F57" s="22" t="s">
        <v>105</v>
      </c>
      <c r="G57" s="15"/>
      <c r="H57" s="17">
        <f>5200</f>
        <v>5200</v>
      </c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</row>
    <row r="58" spans="1:84" s="17" customFormat="1" ht="39" customHeight="1">
      <c r="A58" s="12">
        <v>45</v>
      </c>
      <c r="B58" s="12" t="s">
        <v>106</v>
      </c>
      <c r="C58" s="12" t="s">
        <v>107</v>
      </c>
      <c r="D58" s="13">
        <v>88.04</v>
      </c>
      <c r="E58" s="14" t="s">
        <v>27</v>
      </c>
      <c r="F58" s="15"/>
      <c r="G58" s="20" t="s">
        <v>51</v>
      </c>
      <c r="H58" s="17">
        <f>88.04</f>
        <v>88.04</v>
      </c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</row>
    <row r="59" spans="1:84" s="17" customFormat="1" ht="39" customHeight="1">
      <c r="A59" s="44">
        <v>46</v>
      </c>
      <c r="B59" s="12" t="s">
        <v>108</v>
      </c>
      <c r="C59" s="12" t="s">
        <v>84</v>
      </c>
      <c r="D59" s="13">
        <v>1600</v>
      </c>
      <c r="E59" s="14" t="s">
        <v>27</v>
      </c>
      <c r="F59" s="15"/>
      <c r="G59" s="20" t="s">
        <v>31</v>
      </c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</row>
    <row r="60" spans="1:84" s="17" customFormat="1" ht="39" customHeight="1">
      <c r="A60" s="44">
        <v>47</v>
      </c>
      <c r="B60" s="12" t="s">
        <v>108</v>
      </c>
      <c r="C60" s="12" t="s">
        <v>85</v>
      </c>
      <c r="D60" s="13">
        <v>185</v>
      </c>
      <c r="E60" s="14" t="s">
        <v>27</v>
      </c>
      <c r="F60" s="15"/>
      <c r="G60" s="20" t="s">
        <v>31</v>
      </c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</row>
    <row r="61" spans="1:84" s="17" customFormat="1" ht="39" customHeight="1">
      <c r="A61" s="12">
        <v>48</v>
      </c>
      <c r="B61" s="12" t="s">
        <v>109</v>
      </c>
      <c r="C61" s="12" t="s">
        <v>110</v>
      </c>
      <c r="D61" s="13">
        <v>80</v>
      </c>
      <c r="E61" s="14" t="s">
        <v>27</v>
      </c>
      <c r="F61" s="15"/>
      <c r="G61" s="27" t="s">
        <v>111</v>
      </c>
      <c r="H61" s="17">
        <f>60</f>
        <v>60</v>
      </c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</row>
    <row r="62" spans="1:84" s="17" customFormat="1" ht="39" customHeight="1">
      <c r="A62" s="12">
        <v>49</v>
      </c>
      <c r="B62" s="12" t="s">
        <v>112</v>
      </c>
      <c r="C62" s="12" t="s">
        <v>113</v>
      </c>
      <c r="D62" s="13">
        <v>556.98</v>
      </c>
      <c r="E62" s="14" t="s">
        <v>27</v>
      </c>
      <c r="F62" s="15"/>
      <c r="G62" s="21" t="s">
        <v>43</v>
      </c>
      <c r="H62" s="17">
        <f>556.98</f>
        <v>556.98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</row>
    <row r="63" spans="1:84" s="17" customFormat="1" ht="39" customHeight="1">
      <c r="A63" s="12">
        <v>50</v>
      </c>
      <c r="B63" s="12" t="s">
        <v>112</v>
      </c>
      <c r="C63" s="12" t="s">
        <v>114</v>
      </c>
      <c r="D63" s="13">
        <v>13043.47</v>
      </c>
      <c r="E63" s="14" t="s">
        <v>27</v>
      </c>
      <c r="F63" s="15"/>
      <c r="G63" s="21" t="s">
        <v>43</v>
      </c>
      <c r="H63" s="17">
        <f>13043.47</f>
        <v>13043.47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</row>
    <row r="64" spans="1:84" s="17" customFormat="1" ht="39" customHeight="1">
      <c r="A64" s="12">
        <v>51</v>
      </c>
      <c r="B64" s="12" t="s">
        <v>35</v>
      </c>
      <c r="C64" s="12" t="s">
        <v>88</v>
      </c>
      <c r="D64" s="13">
        <v>50</v>
      </c>
      <c r="E64" s="14" t="s">
        <v>27</v>
      </c>
      <c r="F64" s="15"/>
      <c r="G64" s="20" t="s">
        <v>31</v>
      </c>
      <c r="H64" s="17">
        <f>50</f>
        <v>50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</row>
    <row r="65" spans="1:84" s="17" customFormat="1" ht="39" customHeight="1">
      <c r="A65" s="12">
        <v>52</v>
      </c>
      <c r="B65" s="25" t="s">
        <v>115</v>
      </c>
      <c r="C65" s="12" t="s">
        <v>116</v>
      </c>
      <c r="D65" s="13">
        <v>1386</v>
      </c>
      <c r="E65" s="14" t="s">
        <v>27</v>
      </c>
      <c r="F65" s="15"/>
      <c r="G65" s="20" t="s">
        <v>31</v>
      </c>
      <c r="H65" s="17">
        <f>1386</f>
        <v>1386</v>
      </c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</row>
    <row r="66" spans="1:84" s="17" customFormat="1" ht="39" customHeight="1">
      <c r="A66" s="12">
        <v>53</v>
      </c>
      <c r="B66" s="12" t="s">
        <v>39</v>
      </c>
      <c r="C66" s="12" t="s">
        <v>40</v>
      </c>
      <c r="D66" s="13">
        <v>883.33</v>
      </c>
      <c r="E66" s="14" t="s">
        <v>27</v>
      </c>
      <c r="F66" s="15"/>
      <c r="G66" s="20" t="s">
        <v>31</v>
      </c>
      <c r="H66" s="17">
        <f>883.33</f>
        <v>883.33</v>
      </c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</row>
    <row r="67" spans="1:84" s="17" customFormat="1" ht="39" customHeight="1">
      <c r="A67" s="12">
        <v>54</v>
      </c>
      <c r="B67" s="12" t="s">
        <v>117</v>
      </c>
      <c r="C67" s="12" t="s">
        <v>118</v>
      </c>
      <c r="D67" s="13">
        <v>500</v>
      </c>
      <c r="E67" s="14" t="s">
        <v>27</v>
      </c>
      <c r="F67" s="15"/>
      <c r="G67" s="20" t="s">
        <v>119</v>
      </c>
      <c r="H67" s="17">
        <f>496.24</f>
        <v>496.24</v>
      </c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</row>
    <row r="68" spans="1:84" s="17" customFormat="1" ht="39" customHeight="1">
      <c r="A68" s="12">
        <v>55</v>
      </c>
      <c r="B68" s="12" t="s">
        <v>120</v>
      </c>
      <c r="C68" s="12" t="s">
        <v>121</v>
      </c>
      <c r="D68" s="13">
        <f>11840.4+1315.6</f>
        <v>13156</v>
      </c>
      <c r="E68" s="14" t="s">
        <v>27</v>
      </c>
      <c r="F68" s="15"/>
      <c r="G68" s="21" t="s">
        <v>122</v>
      </c>
      <c r="H68" s="17">
        <f>13156</f>
        <v>13156</v>
      </c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</row>
    <row r="69" spans="1:84" s="17" customFormat="1" ht="39" customHeight="1">
      <c r="A69" s="44">
        <v>56</v>
      </c>
      <c r="B69" s="12" t="s">
        <v>123</v>
      </c>
      <c r="C69" s="12" t="s">
        <v>124</v>
      </c>
      <c r="D69" s="13">
        <v>500</v>
      </c>
      <c r="E69" s="14" t="s">
        <v>27</v>
      </c>
      <c r="F69" s="15"/>
      <c r="G69" s="20" t="s">
        <v>125</v>
      </c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</row>
    <row r="70" spans="1:84" s="17" customFormat="1" ht="39" customHeight="1">
      <c r="A70" s="12">
        <v>57</v>
      </c>
      <c r="B70" s="12" t="s">
        <v>44</v>
      </c>
      <c r="C70" s="12" t="s">
        <v>126</v>
      </c>
      <c r="D70" s="13">
        <v>1525</v>
      </c>
      <c r="E70" s="14" t="s">
        <v>10</v>
      </c>
      <c r="F70" s="28" t="s">
        <v>127</v>
      </c>
      <c r="G70" s="16"/>
      <c r="H70" s="17">
        <f>1525</f>
        <v>1525</v>
      </c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</row>
    <row r="71" spans="1:84" s="17" customFormat="1" ht="39" customHeight="1">
      <c r="A71" s="44">
        <v>58</v>
      </c>
      <c r="B71" s="12" t="s">
        <v>128</v>
      </c>
      <c r="C71" s="12" t="s">
        <v>38</v>
      </c>
      <c r="D71" s="13">
        <v>550</v>
      </c>
      <c r="E71" s="14" t="s">
        <v>27</v>
      </c>
      <c r="F71" s="15"/>
      <c r="G71" s="20" t="s">
        <v>31</v>
      </c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</row>
    <row r="72" spans="1:84" s="17" customFormat="1" ht="39" customHeight="1">
      <c r="A72" s="12">
        <v>59</v>
      </c>
      <c r="B72" s="12" t="s">
        <v>129</v>
      </c>
      <c r="C72" s="12" t="s">
        <v>130</v>
      </c>
      <c r="D72" s="13">
        <v>4995</v>
      </c>
      <c r="E72" s="14" t="s">
        <v>10</v>
      </c>
      <c r="F72" s="22" t="s">
        <v>131</v>
      </c>
      <c r="G72" s="16"/>
      <c r="H72" s="17">
        <f>4995</f>
        <v>4995</v>
      </c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</row>
    <row r="73" spans="1:84" s="17" customFormat="1" ht="39" customHeight="1">
      <c r="A73" s="12">
        <v>60</v>
      </c>
      <c r="B73" s="12" t="s">
        <v>132</v>
      </c>
      <c r="C73" s="12" t="s">
        <v>133</v>
      </c>
      <c r="D73" s="13">
        <v>2400</v>
      </c>
      <c r="E73" s="14" t="s">
        <v>10</v>
      </c>
      <c r="F73" s="22" t="s">
        <v>134</v>
      </c>
      <c r="G73" s="16"/>
      <c r="H73" s="17">
        <f>2400</f>
        <v>2400</v>
      </c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</row>
    <row r="74" spans="1:84" s="17" customFormat="1" ht="39" customHeight="1">
      <c r="A74" s="12">
        <v>61</v>
      </c>
      <c r="B74" s="12" t="s">
        <v>135</v>
      </c>
      <c r="C74" s="12" t="s">
        <v>136</v>
      </c>
      <c r="D74" s="13">
        <v>2239</v>
      </c>
      <c r="E74" s="14" t="s">
        <v>27</v>
      </c>
      <c r="F74" s="15"/>
      <c r="G74" s="20" t="s">
        <v>31</v>
      </c>
      <c r="H74" s="17">
        <f>2239</f>
        <v>2239</v>
      </c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</row>
    <row r="75" spans="1:84" s="17" customFormat="1" ht="39" customHeight="1">
      <c r="A75" s="12">
        <v>62</v>
      </c>
      <c r="B75" s="12" t="s">
        <v>137</v>
      </c>
      <c r="C75" s="12" t="s">
        <v>138</v>
      </c>
      <c r="D75" s="13">
        <v>47.7</v>
      </c>
      <c r="E75" s="14" t="s">
        <v>27</v>
      </c>
      <c r="F75" s="15"/>
      <c r="G75" s="20" t="s">
        <v>31</v>
      </c>
      <c r="H75" s="17">
        <f>47.7</f>
        <v>47.7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</row>
    <row r="76" spans="1:84" s="17" customFormat="1" ht="39" customHeight="1">
      <c r="A76" s="12">
        <v>63</v>
      </c>
      <c r="B76" s="12" t="s">
        <v>139</v>
      </c>
      <c r="C76" s="12" t="s">
        <v>140</v>
      </c>
      <c r="D76" s="13">
        <v>119</v>
      </c>
      <c r="E76" s="14" t="s">
        <v>27</v>
      </c>
      <c r="F76" s="15"/>
      <c r="G76" s="20" t="s">
        <v>31</v>
      </c>
      <c r="H76" s="17">
        <f>119</f>
        <v>119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</row>
    <row r="77" spans="1:84" s="17" customFormat="1" ht="39" customHeight="1">
      <c r="A77" s="44">
        <v>64</v>
      </c>
      <c r="B77" s="12" t="s">
        <v>141</v>
      </c>
      <c r="C77" s="12" t="s">
        <v>114</v>
      </c>
      <c r="D77" s="13">
        <v>21637.46</v>
      </c>
      <c r="E77" s="14" t="s">
        <v>27</v>
      </c>
      <c r="F77" s="15"/>
      <c r="G77" s="21" t="s">
        <v>43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</row>
    <row r="78" spans="1:84" s="17" customFormat="1" ht="39" customHeight="1">
      <c r="A78" s="44">
        <v>65</v>
      </c>
      <c r="B78" s="12" t="s">
        <v>141</v>
      </c>
      <c r="C78" s="12" t="s">
        <v>142</v>
      </c>
      <c r="D78" s="13">
        <v>247.73</v>
      </c>
      <c r="E78" s="14" t="s">
        <v>27</v>
      </c>
      <c r="F78" s="15"/>
      <c r="G78" s="21" t="s">
        <v>43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</row>
    <row r="79" spans="1:84" s="17" customFormat="1" ht="39" customHeight="1">
      <c r="A79" s="12">
        <v>66</v>
      </c>
      <c r="B79" s="12" t="s">
        <v>143</v>
      </c>
      <c r="C79" s="12" t="s">
        <v>144</v>
      </c>
      <c r="D79" s="13">
        <v>35</v>
      </c>
      <c r="E79" s="14" t="s">
        <v>27</v>
      </c>
      <c r="F79" s="15"/>
      <c r="G79" s="20" t="s">
        <v>31</v>
      </c>
      <c r="H79" s="17">
        <f>35</f>
        <v>35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</row>
    <row r="80" spans="1:84" s="17" customFormat="1" ht="39" customHeight="1">
      <c r="A80" s="44">
        <v>67</v>
      </c>
      <c r="B80" s="12" t="s">
        <v>145</v>
      </c>
      <c r="C80" s="12" t="s">
        <v>72</v>
      </c>
      <c r="D80" s="13">
        <v>5000</v>
      </c>
      <c r="E80" s="14" t="s">
        <v>27</v>
      </c>
      <c r="F80" s="15"/>
      <c r="G80" s="20" t="s">
        <v>125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</row>
    <row r="81" spans="1:84" s="17" customFormat="1" ht="39" customHeight="1">
      <c r="A81" s="44">
        <v>68</v>
      </c>
      <c r="B81" s="12" t="s">
        <v>146</v>
      </c>
      <c r="C81" s="12" t="s">
        <v>147</v>
      </c>
      <c r="D81" s="13">
        <v>798</v>
      </c>
      <c r="E81" s="14" t="s">
        <v>27</v>
      </c>
      <c r="F81" s="15"/>
      <c r="G81" s="20" t="s">
        <v>125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</row>
    <row r="82" spans="1:84" s="17" customFormat="1" ht="39" customHeight="1">
      <c r="A82" s="44">
        <v>69</v>
      </c>
      <c r="B82" s="12" t="s">
        <v>148</v>
      </c>
      <c r="C82" s="12" t="s">
        <v>72</v>
      </c>
      <c r="D82" s="13">
        <v>85</v>
      </c>
      <c r="E82" s="14" t="s">
        <v>27</v>
      </c>
      <c r="F82" s="15"/>
      <c r="G82" s="20" t="s">
        <v>125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</row>
    <row r="83" spans="1:84" s="17" customFormat="1" ht="39" customHeight="1">
      <c r="A83" s="44">
        <v>70</v>
      </c>
      <c r="B83" s="12" t="s">
        <v>149</v>
      </c>
      <c r="C83" s="12" t="s">
        <v>70</v>
      </c>
      <c r="D83" s="13">
        <v>669.41</v>
      </c>
      <c r="E83" s="14" t="s">
        <v>27</v>
      </c>
      <c r="F83" s="15"/>
      <c r="G83" s="20" t="s">
        <v>125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</row>
    <row r="84" spans="1:84" s="17" customFormat="1" ht="39" customHeight="1">
      <c r="A84" s="12">
        <v>71</v>
      </c>
      <c r="B84" s="12" t="s">
        <v>112</v>
      </c>
      <c r="C84" s="12" t="s">
        <v>150</v>
      </c>
      <c r="D84" s="13">
        <v>46101.29</v>
      </c>
      <c r="E84" s="14" t="s">
        <v>27</v>
      </c>
      <c r="F84" s="15"/>
      <c r="G84" s="21" t="s">
        <v>43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</row>
    <row r="85" spans="1:84" s="17" customFormat="1" ht="39" customHeight="1">
      <c r="A85" s="44">
        <v>72</v>
      </c>
      <c r="B85" s="12" t="s">
        <v>112</v>
      </c>
      <c r="C85" s="12" t="s">
        <v>80</v>
      </c>
      <c r="D85" s="13">
        <v>1165.49</v>
      </c>
      <c r="E85" s="14" t="s">
        <v>27</v>
      </c>
      <c r="F85" s="15"/>
      <c r="G85" s="21" t="s">
        <v>43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</row>
    <row r="86" spans="1:84" s="17" customFormat="1" ht="39" customHeight="1">
      <c r="A86" s="44">
        <v>73</v>
      </c>
      <c r="B86" s="12" t="s">
        <v>143</v>
      </c>
      <c r="C86" s="12" t="s">
        <v>144</v>
      </c>
      <c r="D86" s="13">
        <v>55</v>
      </c>
      <c r="E86" s="14" t="s">
        <v>27</v>
      </c>
      <c r="F86" s="15"/>
      <c r="G86" s="20" t="s">
        <v>31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</row>
    <row r="87" spans="1:84" ht="39" customHeight="1"/>
    <row r="88" spans="1:84" ht="39" customHeight="1"/>
    <row r="89" spans="1:84" ht="39" customHeight="1"/>
    <row r="90" spans="1:84" ht="39" customHeight="1"/>
    <row r="91" spans="1:84" ht="39" customHeight="1"/>
    <row r="92" spans="1:84" ht="39" customHeight="1"/>
    <row r="93" spans="1:84" ht="39" customHeight="1"/>
    <row r="94" spans="1:84" ht="39" customHeight="1"/>
    <row r="95" spans="1:84" ht="39" customHeight="1"/>
    <row r="96" spans="1:84" ht="39" customHeight="1"/>
    <row r="97" ht="39" customHeight="1"/>
    <row r="98" ht="39" customHeight="1"/>
    <row r="99" ht="39" customHeight="1"/>
    <row r="100" ht="39" customHeight="1"/>
    <row r="101" ht="39" customHeight="1"/>
    <row r="102" ht="39" customHeight="1"/>
    <row r="103" ht="39" customHeight="1"/>
    <row r="104" ht="39" customHeight="1"/>
    <row r="105" ht="39" customHeight="1"/>
    <row r="106" ht="39" customHeight="1"/>
    <row r="107" ht="39" customHeight="1"/>
    <row r="108" ht="39" customHeight="1"/>
    <row r="109" ht="39" customHeight="1"/>
    <row r="110" ht="39" customHeight="1"/>
    <row r="111" ht="39" customHeight="1"/>
    <row r="112" ht="39" customHeight="1"/>
    <row r="113" ht="39" customHeight="1"/>
    <row r="114" ht="39" customHeight="1"/>
    <row r="115" ht="39" customHeight="1"/>
    <row r="116" ht="39" customHeight="1"/>
    <row r="117" ht="39" customHeight="1"/>
    <row r="118" ht="39" customHeight="1"/>
    <row r="119" ht="39" customHeight="1"/>
    <row r="120" ht="39" customHeight="1"/>
    <row r="121" ht="39" customHeight="1"/>
    <row r="122" ht="39" customHeight="1"/>
    <row r="123" ht="39" customHeight="1"/>
    <row r="124" ht="39" customHeight="1"/>
    <row r="125" ht="39" customHeight="1"/>
    <row r="126" ht="39" customHeight="1"/>
    <row r="127" ht="39" customHeight="1"/>
    <row r="128" ht="39" customHeight="1"/>
    <row r="129" ht="39" customHeight="1"/>
    <row r="130" ht="39" customHeight="1"/>
    <row r="131" ht="39" customHeight="1"/>
    <row r="132" ht="39" customHeight="1"/>
    <row r="133" ht="39" customHeight="1"/>
    <row r="134" ht="39" customHeight="1"/>
    <row r="135" ht="39" customHeight="1"/>
    <row r="136" ht="39" customHeight="1"/>
    <row r="137" ht="39" customHeight="1"/>
    <row r="138" ht="39" customHeight="1"/>
    <row r="139" ht="39" customHeight="1"/>
    <row r="140" ht="39" customHeight="1"/>
    <row r="141" ht="39" customHeight="1"/>
    <row r="142" ht="39" customHeight="1"/>
    <row r="143" ht="39" customHeight="1"/>
    <row r="144" ht="39" customHeight="1"/>
    <row r="145" ht="39" customHeight="1"/>
    <row r="146" ht="39" customHeight="1"/>
    <row r="147" ht="39" customHeight="1"/>
    <row r="148" ht="39" customHeight="1"/>
    <row r="149" ht="39" customHeight="1"/>
    <row r="150" ht="39" customHeight="1"/>
    <row r="151" ht="39" customHeight="1"/>
    <row r="152" ht="39" customHeight="1"/>
    <row r="153" ht="39" customHeight="1"/>
    <row r="154" ht="39" customHeight="1"/>
    <row r="155" ht="39" customHeight="1"/>
    <row r="156" ht="39" customHeight="1"/>
    <row r="157" ht="39" customHeight="1"/>
    <row r="158" ht="39" customHeight="1"/>
    <row r="159" ht="39" customHeight="1"/>
    <row r="160" ht="39" customHeight="1"/>
    <row r="161" ht="39" customHeight="1"/>
    <row r="162" ht="39" customHeight="1"/>
    <row r="163" ht="39" customHeight="1"/>
    <row r="164" ht="39" customHeight="1"/>
    <row r="165" ht="39" customHeight="1"/>
    <row r="166" ht="39" customHeight="1"/>
    <row r="167" ht="39" customHeight="1"/>
    <row r="168" ht="39" customHeight="1"/>
    <row r="169" ht="39" customHeight="1"/>
    <row r="170" ht="39" customHeight="1"/>
    <row r="171" ht="39" customHeight="1"/>
    <row r="172" ht="39" customHeight="1"/>
    <row r="173" ht="39" customHeight="1"/>
    <row r="174" ht="39" customHeight="1"/>
    <row r="175" ht="39" customHeight="1"/>
    <row r="176" ht="39" customHeight="1"/>
    <row r="177" ht="39" customHeight="1"/>
    <row r="178" ht="39" customHeight="1"/>
    <row r="179" ht="39" customHeight="1"/>
    <row r="180" ht="39" customHeight="1"/>
    <row r="181" ht="39" customHeight="1"/>
    <row r="182" ht="39" customHeight="1"/>
    <row r="183" ht="39" customHeight="1"/>
    <row r="184" ht="39" customHeight="1"/>
    <row r="185" ht="39" customHeight="1"/>
    <row r="186" ht="39" customHeight="1"/>
    <row r="187" ht="39" customHeight="1"/>
    <row r="188" ht="39" customHeight="1"/>
    <row r="189" ht="39" customHeight="1"/>
    <row r="190" ht="39" customHeight="1"/>
    <row r="191" ht="39" customHeight="1"/>
    <row r="192" ht="39" customHeight="1"/>
    <row r="193" ht="39" customHeight="1"/>
    <row r="194" ht="39" customHeight="1"/>
    <row r="195" ht="39" customHeight="1"/>
    <row r="196" ht="39" customHeight="1"/>
    <row r="197" ht="39" customHeight="1"/>
    <row r="198" ht="39" customHeight="1"/>
    <row r="199" ht="39" customHeight="1"/>
    <row r="200" ht="39" customHeight="1"/>
    <row r="201" ht="39" customHeight="1"/>
    <row r="202" ht="39" customHeight="1"/>
    <row r="203" ht="39" customHeight="1"/>
    <row r="204" ht="39" customHeight="1"/>
    <row r="205" ht="39" customHeight="1"/>
    <row r="206" ht="39" customHeight="1"/>
    <row r="207" ht="39" customHeight="1"/>
    <row r="208" ht="39" customHeight="1"/>
    <row r="209" ht="39" customHeight="1"/>
    <row r="210" ht="39" customHeight="1"/>
    <row r="211" ht="39" customHeight="1"/>
    <row r="212" ht="39" customHeight="1"/>
    <row r="213" ht="39" customHeight="1"/>
    <row r="214" ht="39" customHeight="1"/>
    <row r="215" ht="39" customHeight="1"/>
    <row r="216" ht="39" customHeight="1"/>
    <row r="217" ht="39" customHeight="1"/>
    <row r="218" ht="39" customHeight="1"/>
    <row r="219" ht="39" customHeight="1"/>
    <row r="220" ht="39" customHeight="1"/>
    <row r="221" ht="39" customHeight="1"/>
    <row r="222" ht="39" customHeight="1"/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0"/>
  <sheetViews>
    <sheetView tabSelected="1" topLeftCell="A142" workbookViewId="0">
      <selection activeCell="I4" sqref="I4"/>
    </sheetView>
  </sheetViews>
  <sheetFormatPr defaultRowHeight="15"/>
  <cols>
    <col min="1" max="1" width="5.42578125" customWidth="1"/>
    <col min="2" max="2" width="20.28515625" customWidth="1"/>
    <col min="3" max="3" width="28" customWidth="1"/>
    <col min="4" max="9" width="12" customWidth="1"/>
    <col min="11" max="11" width="15.85546875" customWidth="1"/>
    <col min="12" max="12" width="16.85546875" customWidth="1"/>
    <col min="13" max="13" width="13.5703125" hidden="1" customWidth="1"/>
  </cols>
  <sheetData>
    <row r="1" spans="1:13" ht="39" customHeight="1">
      <c r="A1" s="52" t="s">
        <v>413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3" ht="45">
      <c r="A2" s="2" t="s">
        <v>1</v>
      </c>
      <c r="B2" s="3" t="s">
        <v>2</v>
      </c>
      <c r="C2" s="3" t="s">
        <v>3</v>
      </c>
      <c r="D2" s="48" t="s">
        <v>411</v>
      </c>
      <c r="E2" s="48"/>
      <c r="F2" s="48"/>
      <c r="G2" s="49" t="s">
        <v>412</v>
      </c>
      <c r="H2" s="48"/>
      <c r="I2" s="48"/>
      <c r="J2" s="5" t="s">
        <v>5</v>
      </c>
      <c r="K2" s="5" t="s">
        <v>6</v>
      </c>
      <c r="L2" s="6" t="s">
        <v>7</v>
      </c>
      <c r="M2" s="17" t="s">
        <v>407</v>
      </c>
    </row>
    <row r="3" spans="1:13" ht="22.5">
      <c r="A3" s="8"/>
      <c r="B3" s="8"/>
      <c r="C3" s="8"/>
      <c r="D3" s="50" t="s">
        <v>408</v>
      </c>
      <c r="E3" s="50" t="s">
        <v>409</v>
      </c>
      <c r="F3" s="50" t="s">
        <v>410</v>
      </c>
      <c r="G3" s="50" t="s">
        <v>408</v>
      </c>
      <c r="H3" s="50" t="s">
        <v>409</v>
      </c>
      <c r="I3" s="50" t="s">
        <v>410</v>
      </c>
      <c r="J3" s="10"/>
      <c r="K3" s="10"/>
      <c r="L3" s="11"/>
      <c r="M3" s="17"/>
    </row>
    <row r="4" spans="1:13" ht="22.5">
      <c r="A4" s="12">
        <v>607</v>
      </c>
      <c r="B4" s="12" t="s">
        <v>8</v>
      </c>
      <c r="C4" s="12" t="s">
        <v>9</v>
      </c>
      <c r="D4" s="13">
        <v>4548</v>
      </c>
      <c r="E4" s="13"/>
      <c r="F4" s="13"/>
      <c r="G4" s="17">
        <f>3032</f>
        <v>3032</v>
      </c>
      <c r="H4" s="13"/>
      <c r="I4" s="13"/>
      <c r="J4" s="14" t="s">
        <v>10</v>
      </c>
      <c r="K4" s="15" t="s">
        <v>11</v>
      </c>
      <c r="L4" s="16"/>
      <c r="M4" s="17">
        <f>3032</f>
        <v>3032</v>
      </c>
    </row>
    <row r="5" spans="1:13" ht="22.5">
      <c r="A5" s="12">
        <v>608</v>
      </c>
      <c r="B5" s="12" t="s">
        <v>12</v>
      </c>
      <c r="C5" s="12" t="s">
        <v>13</v>
      </c>
      <c r="D5" s="13">
        <v>22794.959999999999</v>
      </c>
      <c r="E5" s="13"/>
      <c r="F5" s="13"/>
      <c r="G5" s="17">
        <f>15196.64</f>
        <v>15196.64</v>
      </c>
      <c r="H5" s="13"/>
      <c r="I5" s="13"/>
      <c r="J5" s="14" t="s">
        <v>10</v>
      </c>
      <c r="K5" s="15" t="s">
        <v>14</v>
      </c>
      <c r="L5" s="45"/>
      <c r="M5" s="17">
        <f>15196.64</f>
        <v>15196.64</v>
      </c>
    </row>
    <row r="6" spans="1:13" ht="22.5">
      <c r="A6" s="12">
        <v>609</v>
      </c>
      <c r="B6" s="12" t="s">
        <v>15</v>
      </c>
      <c r="C6" s="12" t="s">
        <v>16</v>
      </c>
      <c r="D6" s="13">
        <v>14374</v>
      </c>
      <c r="E6" s="13"/>
      <c r="F6" s="13"/>
      <c r="G6" s="17">
        <f>2805.61</f>
        <v>2805.61</v>
      </c>
      <c r="H6" s="13"/>
      <c r="I6" s="13"/>
      <c r="J6" s="14" t="s">
        <v>10</v>
      </c>
      <c r="K6" s="15" t="s">
        <v>17</v>
      </c>
      <c r="L6" s="16"/>
      <c r="M6" s="17">
        <f>2805.61</f>
        <v>2805.61</v>
      </c>
    </row>
    <row r="7" spans="1:13" ht="22.5">
      <c r="A7" s="12">
        <v>610</v>
      </c>
      <c r="B7" s="12" t="s">
        <v>18</v>
      </c>
      <c r="C7" s="12" t="s">
        <v>19</v>
      </c>
      <c r="D7" s="13">
        <v>1800</v>
      </c>
      <c r="E7" s="13"/>
      <c r="F7" s="13"/>
      <c r="G7" s="17">
        <f>74.52</f>
        <v>74.52</v>
      </c>
      <c r="H7" s="13"/>
      <c r="I7" s="13"/>
      <c r="J7" s="14" t="s">
        <v>10</v>
      </c>
      <c r="K7" s="15" t="s">
        <v>20</v>
      </c>
      <c r="L7" s="16"/>
      <c r="M7" s="17">
        <f>74.52</f>
        <v>74.52</v>
      </c>
    </row>
    <row r="8" spans="1:13" ht="67.5">
      <c r="A8" s="12">
        <v>611</v>
      </c>
      <c r="B8" s="12" t="s">
        <v>21</v>
      </c>
      <c r="C8" s="18" t="s">
        <v>22</v>
      </c>
      <c r="D8" s="13">
        <v>20000</v>
      </c>
      <c r="E8" s="13"/>
      <c r="F8" s="13"/>
      <c r="G8" s="17">
        <f>1241</f>
        <v>1241</v>
      </c>
      <c r="H8" s="13"/>
      <c r="I8" s="13"/>
      <c r="J8" s="14" t="s">
        <v>10</v>
      </c>
      <c r="K8" s="15" t="s">
        <v>23</v>
      </c>
      <c r="L8" s="16"/>
      <c r="M8" s="17">
        <f>1241</f>
        <v>1241</v>
      </c>
    </row>
    <row r="9" spans="1:13" ht="22.5">
      <c r="A9" s="12">
        <v>612</v>
      </c>
      <c r="B9" s="12" t="s">
        <v>24</v>
      </c>
      <c r="C9" s="12" t="s">
        <v>16</v>
      </c>
      <c r="D9" s="13">
        <v>602</v>
      </c>
      <c r="E9" s="13"/>
      <c r="F9" s="13"/>
      <c r="G9" s="17">
        <f>107.01</f>
        <v>107.01</v>
      </c>
      <c r="H9" s="13"/>
      <c r="I9" s="13"/>
      <c r="J9" s="14" t="s">
        <v>10</v>
      </c>
      <c r="K9" s="15" t="s">
        <v>25</v>
      </c>
      <c r="L9" s="16"/>
      <c r="M9" s="17">
        <f>107.01</f>
        <v>107.01</v>
      </c>
    </row>
    <row r="10" spans="1:13" ht="98.25">
      <c r="A10" s="12">
        <v>613</v>
      </c>
      <c r="B10" s="12" t="s">
        <v>24</v>
      </c>
      <c r="C10" s="12" t="s">
        <v>26</v>
      </c>
      <c r="D10" s="13">
        <v>720</v>
      </c>
      <c r="E10" s="13"/>
      <c r="F10" s="13"/>
      <c r="G10" s="17">
        <f>540</f>
        <v>540</v>
      </c>
      <c r="H10" s="13"/>
      <c r="I10" s="13"/>
      <c r="J10" s="14" t="s">
        <v>27</v>
      </c>
      <c r="K10" s="15"/>
      <c r="L10" s="19" t="s">
        <v>28</v>
      </c>
      <c r="M10" s="17">
        <f>540</f>
        <v>540</v>
      </c>
    </row>
    <row r="11" spans="1:13" ht="49.5">
      <c r="A11" s="12">
        <v>614</v>
      </c>
      <c r="B11" s="12" t="s">
        <v>29</v>
      </c>
      <c r="C11" s="12" t="s">
        <v>30</v>
      </c>
      <c r="D11" s="13">
        <v>1668</v>
      </c>
      <c r="E11" s="13"/>
      <c r="F11" s="13"/>
      <c r="G11" s="17">
        <f>1112</f>
        <v>1112</v>
      </c>
      <c r="H11" s="13"/>
      <c r="I11" s="13"/>
      <c r="J11" s="14" t="s">
        <v>27</v>
      </c>
      <c r="K11" s="15"/>
      <c r="L11" s="20" t="s">
        <v>31</v>
      </c>
      <c r="M11" s="17">
        <f>1112</f>
        <v>1112</v>
      </c>
    </row>
    <row r="12" spans="1:13" ht="98.25">
      <c r="A12" s="12">
        <v>615</v>
      </c>
      <c r="B12" s="12" t="s">
        <v>29</v>
      </c>
      <c r="C12" s="12" t="s">
        <v>26</v>
      </c>
      <c r="D12" s="13">
        <v>7920</v>
      </c>
      <c r="E12" s="13"/>
      <c r="F12" s="13"/>
      <c r="G12" s="17">
        <f>5280</f>
        <v>5280</v>
      </c>
      <c r="H12" s="13"/>
      <c r="I12" s="13"/>
      <c r="J12" s="14" t="s">
        <v>27</v>
      </c>
      <c r="K12" s="15"/>
      <c r="L12" s="19" t="s">
        <v>28</v>
      </c>
      <c r="M12" s="17">
        <f>5280</f>
        <v>5280</v>
      </c>
    </row>
    <row r="13" spans="1:13" ht="98.25">
      <c r="A13" s="12">
        <v>616</v>
      </c>
      <c r="B13" s="12" t="s">
        <v>32</v>
      </c>
      <c r="C13" s="12" t="s">
        <v>33</v>
      </c>
      <c r="D13" s="13">
        <v>200</v>
      </c>
      <c r="E13" s="13"/>
      <c r="F13" s="13"/>
      <c r="G13" s="17">
        <f>200</f>
        <v>200</v>
      </c>
      <c r="H13" s="13"/>
      <c r="I13" s="13"/>
      <c r="J13" s="14" t="s">
        <v>27</v>
      </c>
      <c r="K13" s="15"/>
      <c r="L13" s="21" t="s">
        <v>34</v>
      </c>
      <c r="M13" s="17">
        <f>200</f>
        <v>200</v>
      </c>
    </row>
    <row r="14" spans="1:13" ht="49.5">
      <c r="A14" s="12">
        <v>1</v>
      </c>
      <c r="B14" s="12" t="s">
        <v>35</v>
      </c>
      <c r="C14" s="12" t="s">
        <v>36</v>
      </c>
      <c r="D14" s="13">
        <v>50</v>
      </c>
      <c r="E14" s="13"/>
      <c r="F14" s="13"/>
      <c r="G14" s="17">
        <f>50</f>
        <v>50</v>
      </c>
      <c r="H14" s="13"/>
      <c r="I14" s="13"/>
      <c r="J14" s="14" t="s">
        <v>27</v>
      </c>
      <c r="K14" s="15"/>
      <c r="L14" s="20" t="s">
        <v>31</v>
      </c>
      <c r="M14" s="17">
        <f>50</f>
        <v>50</v>
      </c>
    </row>
    <row r="15" spans="1:13" ht="49.5">
      <c r="A15" s="12">
        <v>2</v>
      </c>
      <c r="B15" s="44" t="s">
        <v>37</v>
      </c>
      <c r="C15" s="12" t="s">
        <v>38</v>
      </c>
      <c r="D15" s="13">
        <v>660</v>
      </c>
      <c r="E15" s="13"/>
      <c r="F15" s="13"/>
      <c r="G15" s="17" t="s">
        <v>406</v>
      </c>
      <c r="H15" s="13"/>
      <c r="I15" s="13"/>
      <c r="J15" s="14" t="s">
        <v>27</v>
      </c>
      <c r="K15" s="15"/>
      <c r="L15" s="20" t="s">
        <v>31</v>
      </c>
      <c r="M15" s="17" t="s">
        <v>406</v>
      </c>
    </row>
    <row r="16" spans="1:13" ht="49.5">
      <c r="A16" s="12">
        <v>3</v>
      </c>
      <c r="B16" s="12" t="s">
        <v>39</v>
      </c>
      <c r="C16" s="12" t="s">
        <v>40</v>
      </c>
      <c r="D16" s="13">
        <v>867.5</v>
      </c>
      <c r="E16" s="13"/>
      <c r="F16" s="13"/>
      <c r="G16" s="17">
        <f>867.5</f>
        <v>867.5</v>
      </c>
      <c r="H16" s="13"/>
      <c r="I16" s="13"/>
      <c r="J16" s="14" t="s">
        <v>27</v>
      </c>
      <c r="K16" s="15"/>
      <c r="L16" s="20" t="s">
        <v>31</v>
      </c>
      <c r="M16" s="17">
        <f>867.5</f>
        <v>867.5</v>
      </c>
    </row>
    <row r="17" spans="1:13" ht="98.25">
      <c r="A17" s="12">
        <v>4</v>
      </c>
      <c r="B17" s="12" t="s">
        <v>41</v>
      </c>
      <c r="C17" s="12" t="s">
        <v>42</v>
      </c>
      <c r="D17" s="13">
        <v>31054.62</v>
      </c>
      <c r="E17" s="13"/>
      <c r="F17" s="13"/>
      <c r="G17" s="17">
        <f>31054.62</f>
        <v>31054.62</v>
      </c>
      <c r="H17" s="13"/>
      <c r="I17" s="13"/>
      <c r="J17" s="14" t="s">
        <v>27</v>
      </c>
      <c r="K17" s="15"/>
      <c r="L17" s="19" t="s">
        <v>43</v>
      </c>
      <c r="M17" s="17">
        <f>31054.62</f>
        <v>31054.62</v>
      </c>
    </row>
    <row r="18" spans="1:13" ht="45">
      <c r="A18" s="12">
        <v>5</v>
      </c>
      <c r="B18" s="12" t="s">
        <v>44</v>
      </c>
      <c r="C18" s="12" t="s">
        <v>45</v>
      </c>
      <c r="D18" s="13">
        <v>996</v>
      </c>
      <c r="E18" s="13"/>
      <c r="F18" s="13"/>
      <c r="G18" s="17">
        <f>615.81</f>
        <v>615.80999999999995</v>
      </c>
      <c r="H18" s="13"/>
      <c r="I18" s="13"/>
      <c r="J18" s="14" t="s">
        <v>10</v>
      </c>
      <c r="K18" s="22" t="s">
        <v>46</v>
      </c>
      <c r="L18" s="16"/>
      <c r="M18" s="17">
        <f>615.81</f>
        <v>615.80999999999995</v>
      </c>
    </row>
    <row r="19" spans="1:13" ht="49.5">
      <c r="A19" s="12">
        <v>6</v>
      </c>
      <c r="B19" s="12" t="s">
        <v>47</v>
      </c>
      <c r="C19" s="12" t="s">
        <v>48</v>
      </c>
      <c r="D19" s="13">
        <v>3360</v>
      </c>
      <c r="E19" s="13"/>
      <c r="F19" s="13"/>
      <c r="G19" s="17">
        <f>1400</f>
        <v>1400</v>
      </c>
      <c r="H19" s="13"/>
      <c r="I19" s="13"/>
      <c r="J19" s="14" t="s">
        <v>27</v>
      </c>
      <c r="K19" s="15"/>
      <c r="L19" s="20" t="s">
        <v>31</v>
      </c>
      <c r="M19" s="17">
        <f>1400</f>
        <v>1400</v>
      </c>
    </row>
    <row r="20" spans="1:13" ht="49.5">
      <c r="A20" s="12">
        <v>7</v>
      </c>
      <c r="B20" s="12" t="s">
        <v>49</v>
      </c>
      <c r="C20" s="12" t="s">
        <v>50</v>
      </c>
      <c r="D20" s="13">
        <v>3649.74</v>
      </c>
      <c r="E20" s="13"/>
      <c r="F20" s="13"/>
      <c r="G20" s="17">
        <f>3649.74</f>
        <v>3649.74</v>
      </c>
      <c r="H20" s="13"/>
      <c r="I20" s="13"/>
      <c r="J20" s="14" t="s">
        <v>27</v>
      </c>
      <c r="K20" s="15"/>
      <c r="L20" s="20" t="s">
        <v>51</v>
      </c>
      <c r="M20" s="17">
        <f>3649.74</f>
        <v>3649.74</v>
      </c>
    </row>
    <row r="21" spans="1:13" ht="98.25">
      <c r="A21" s="12">
        <v>8</v>
      </c>
      <c r="B21" s="12" t="s">
        <v>52</v>
      </c>
      <c r="C21" s="12" t="s">
        <v>33</v>
      </c>
      <c r="D21" s="13">
        <v>9000</v>
      </c>
      <c r="E21" s="13"/>
      <c r="F21" s="13"/>
      <c r="G21" s="17">
        <f>5324.4</f>
        <v>5324.4</v>
      </c>
      <c r="H21" s="13"/>
      <c r="I21" s="13"/>
      <c r="J21" s="14" t="s">
        <v>53</v>
      </c>
      <c r="K21" s="15" t="s">
        <v>54</v>
      </c>
      <c r="L21" s="19" t="s">
        <v>34</v>
      </c>
      <c r="M21" s="17">
        <f>5324.4</f>
        <v>5324.4</v>
      </c>
    </row>
    <row r="22" spans="1:13" ht="98.25">
      <c r="A22" s="12">
        <v>9</v>
      </c>
      <c r="B22" s="12" t="s">
        <v>41</v>
      </c>
      <c r="C22" s="12" t="s">
        <v>55</v>
      </c>
      <c r="D22" s="13">
        <v>996.22</v>
      </c>
      <c r="E22" s="13"/>
      <c r="F22" s="13"/>
      <c r="G22" s="17">
        <f>996.85</f>
        <v>996.85</v>
      </c>
      <c r="H22" s="13"/>
      <c r="I22" s="13"/>
      <c r="J22" s="14" t="s">
        <v>27</v>
      </c>
      <c r="K22" s="15"/>
      <c r="L22" s="19" t="s">
        <v>43</v>
      </c>
      <c r="M22" s="17">
        <f>996.85</f>
        <v>996.85</v>
      </c>
    </row>
    <row r="23" spans="1:13" ht="45">
      <c r="A23" s="12">
        <v>10</v>
      </c>
      <c r="B23" s="12" t="s">
        <v>56</v>
      </c>
      <c r="C23" s="12" t="s">
        <v>57</v>
      </c>
      <c r="D23" s="13">
        <v>9912</v>
      </c>
      <c r="E23" s="13"/>
      <c r="F23" s="13"/>
      <c r="G23" s="17">
        <f>5995.16</f>
        <v>5995.16</v>
      </c>
      <c r="H23" s="13"/>
      <c r="I23" s="13"/>
      <c r="J23" s="14" t="s">
        <v>10</v>
      </c>
      <c r="K23" s="15" t="s">
        <v>58</v>
      </c>
      <c r="L23" s="16"/>
      <c r="M23" s="17">
        <f>5995.16</f>
        <v>5995.16</v>
      </c>
    </row>
    <row r="24" spans="1:13" ht="98.25">
      <c r="A24" s="12">
        <v>11</v>
      </c>
      <c r="B24" s="12" t="s">
        <v>59</v>
      </c>
      <c r="C24" s="12" t="s">
        <v>60</v>
      </c>
      <c r="D24" s="13">
        <v>21114.82</v>
      </c>
      <c r="E24" s="13"/>
      <c r="F24" s="13"/>
      <c r="G24" s="17">
        <f>21114.82</f>
        <v>21114.82</v>
      </c>
      <c r="H24" s="13"/>
      <c r="I24" s="13"/>
      <c r="J24" s="14" t="s">
        <v>27</v>
      </c>
      <c r="K24" s="15"/>
      <c r="L24" s="19" t="s">
        <v>43</v>
      </c>
      <c r="M24" s="17">
        <f>21114.82</f>
        <v>21114.82</v>
      </c>
    </row>
    <row r="25" spans="1:13" ht="98.25">
      <c r="A25" s="44">
        <v>12</v>
      </c>
      <c r="B25" s="12" t="s">
        <v>59</v>
      </c>
      <c r="C25" s="12" t="s">
        <v>55</v>
      </c>
      <c r="D25" s="13">
        <v>560.92999999999995</v>
      </c>
      <c r="E25" s="13"/>
      <c r="F25" s="13"/>
      <c r="G25" s="17" t="s">
        <v>406</v>
      </c>
      <c r="H25" s="13"/>
      <c r="I25" s="13"/>
      <c r="J25" s="14" t="s">
        <v>27</v>
      </c>
      <c r="K25" s="15"/>
      <c r="L25" s="19" t="s">
        <v>43</v>
      </c>
      <c r="M25" s="17" t="s">
        <v>406</v>
      </c>
    </row>
    <row r="26" spans="1:13" ht="117.75">
      <c r="A26" s="12">
        <v>13</v>
      </c>
      <c r="B26" s="12" t="s">
        <v>61</v>
      </c>
      <c r="C26" s="12" t="s">
        <v>62</v>
      </c>
      <c r="D26" s="13">
        <v>1077.5999999999999</v>
      </c>
      <c r="E26" s="13"/>
      <c r="F26" s="13"/>
      <c r="G26" s="17">
        <f>1077.6</f>
        <v>1077.5999999999999</v>
      </c>
      <c r="H26" s="13"/>
      <c r="I26" s="13"/>
      <c r="J26" s="14" t="s">
        <v>27</v>
      </c>
      <c r="K26" s="15"/>
      <c r="L26" s="23" t="s">
        <v>63</v>
      </c>
      <c r="M26" s="17">
        <f>1077.6</f>
        <v>1077.5999999999999</v>
      </c>
    </row>
    <row r="27" spans="1:13" ht="16.5">
      <c r="A27" s="12">
        <v>14</v>
      </c>
      <c r="B27" s="12" t="s">
        <v>64</v>
      </c>
      <c r="C27" s="12" t="s">
        <v>65</v>
      </c>
      <c r="D27" s="13">
        <v>799</v>
      </c>
      <c r="E27" s="13"/>
      <c r="F27" s="13"/>
      <c r="G27" s="17">
        <f>789.91</f>
        <v>789.91</v>
      </c>
      <c r="H27" s="13"/>
      <c r="I27" s="13"/>
      <c r="J27" s="14" t="s">
        <v>10</v>
      </c>
      <c r="K27" s="24" t="s">
        <v>66</v>
      </c>
      <c r="L27" s="16"/>
      <c r="M27" s="17">
        <f>789.91</f>
        <v>789.91</v>
      </c>
    </row>
    <row r="28" spans="1:13" ht="49.5">
      <c r="A28" s="12">
        <v>15</v>
      </c>
      <c r="B28" s="25" t="s">
        <v>67</v>
      </c>
      <c r="C28" s="12" t="s">
        <v>68</v>
      </c>
      <c r="D28" s="13">
        <v>295</v>
      </c>
      <c r="E28" s="13"/>
      <c r="F28" s="13"/>
      <c r="G28" s="17">
        <f>295</f>
        <v>295</v>
      </c>
      <c r="H28" s="13"/>
      <c r="I28" s="13"/>
      <c r="J28" s="14" t="s">
        <v>27</v>
      </c>
      <c r="K28" s="15"/>
      <c r="L28" s="20" t="s">
        <v>31</v>
      </c>
      <c r="M28" s="17">
        <f>295</f>
        <v>295</v>
      </c>
    </row>
    <row r="29" spans="1:13" ht="49.5">
      <c r="A29" s="12">
        <v>16</v>
      </c>
      <c r="B29" s="12" t="s">
        <v>69</v>
      </c>
      <c r="C29" s="12" t="s">
        <v>70</v>
      </c>
      <c r="D29" s="13">
        <v>2551.58</v>
      </c>
      <c r="E29" s="13"/>
      <c r="F29" s="13"/>
      <c r="G29" s="17">
        <f>2551.58</f>
        <v>2551.58</v>
      </c>
      <c r="H29" s="13"/>
      <c r="I29" s="13"/>
      <c r="J29" s="14" t="s">
        <v>27</v>
      </c>
      <c r="K29" s="15"/>
      <c r="L29" s="20" t="s">
        <v>51</v>
      </c>
      <c r="M29" s="17">
        <f>2551.58</f>
        <v>2551.58</v>
      </c>
    </row>
    <row r="30" spans="1:13" ht="49.5">
      <c r="A30" s="12">
        <v>17</v>
      </c>
      <c r="B30" s="12" t="s">
        <v>71</v>
      </c>
      <c r="C30" s="12" t="s">
        <v>72</v>
      </c>
      <c r="D30" s="13">
        <v>10000</v>
      </c>
      <c r="E30" s="13"/>
      <c r="F30" s="13"/>
      <c r="G30" s="17">
        <f>9995.48</f>
        <v>9995.48</v>
      </c>
      <c r="H30" s="13"/>
      <c r="I30" s="13"/>
      <c r="J30" s="14" t="s">
        <v>27</v>
      </c>
      <c r="K30" s="15"/>
      <c r="L30" s="20" t="s">
        <v>51</v>
      </c>
      <c r="M30" s="17">
        <f>9995.48</f>
        <v>9995.48</v>
      </c>
    </row>
    <row r="31" spans="1:13" ht="49.5">
      <c r="A31" s="12">
        <v>18</v>
      </c>
      <c r="B31" s="12" t="s">
        <v>73</v>
      </c>
      <c r="C31" s="12" t="s">
        <v>50</v>
      </c>
      <c r="D31" s="13">
        <v>2199.52</v>
      </c>
      <c r="E31" s="13"/>
      <c r="F31" s="13"/>
      <c r="G31" s="17">
        <f>2199.52</f>
        <v>2199.52</v>
      </c>
      <c r="H31" s="13"/>
      <c r="I31" s="13"/>
      <c r="J31" s="14" t="s">
        <v>27</v>
      </c>
      <c r="K31" s="15"/>
      <c r="L31" s="20" t="s">
        <v>51</v>
      </c>
      <c r="M31" s="17">
        <f>2199.52</f>
        <v>2199.52</v>
      </c>
    </row>
    <row r="32" spans="1:13" ht="49.5">
      <c r="A32" s="12">
        <v>19</v>
      </c>
      <c r="B32" s="12" t="s">
        <v>74</v>
      </c>
      <c r="C32" s="12" t="s">
        <v>70</v>
      </c>
      <c r="D32" s="13">
        <v>1615</v>
      </c>
      <c r="E32" s="13"/>
      <c r="F32" s="13"/>
      <c r="G32" s="17">
        <f>1615</f>
        <v>1615</v>
      </c>
      <c r="H32" s="13"/>
      <c r="I32" s="13"/>
      <c r="J32" s="14" t="s">
        <v>27</v>
      </c>
      <c r="K32" s="15"/>
      <c r="L32" s="20" t="s">
        <v>51</v>
      </c>
      <c r="M32" s="17">
        <f>1615</f>
        <v>1615</v>
      </c>
    </row>
    <row r="33" spans="1:13" ht="49.5">
      <c r="A33" s="12">
        <v>20</v>
      </c>
      <c r="B33" s="12" t="s">
        <v>74</v>
      </c>
      <c r="C33" s="12" t="s">
        <v>72</v>
      </c>
      <c r="D33" s="13">
        <v>300</v>
      </c>
      <c r="E33" s="13"/>
      <c r="F33" s="13"/>
      <c r="G33" s="17">
        <f>300</f>
        <v>300</v>
      </c>
      <c r="H33" s="13"/>
      <c r="I33" s="13"/>
      <c r="J33" s="14" t="s">
        <v>27</v>
      </c>
      <c r="K33" s="15"/>
      <c r="L33" s="20" t="s">
        <v>51</v>
      </c>
      <c r="M33" s="17">
        <f>300</f>
        <v>300</v>
      </c>
    </row>
    <row r="34" spans="1:13" ht="49.5">
      <c r="A34" s="12">
        <v>21</v>
      </c>
      <c r="B34" s="12" t="s">
        <v>75</v>
      </c>
      <c r="C34" s="12" t="s">
        <v>70</v>
      </c>
      <c r="D34" s="13">
        <v>690</v>
      </c>
      <c r="E34" s="13"/>
      <c r="F34" s="13"/>
      <c r="G34" s="17">
        <f>690</f>
        <v>690</v>
      </c>
      <c r="H34" s="13"/>
      <c r="I34" s="13"/>
      <c r="J34" s="14" t="s">
        <v>27</v>
      </c>
      <c r="K34" s="15"/>
      <c r="L34" s="20" t="s">
        <v>51</v>
      </c>
      <c r="M34" s="17">
        <f>690</f>
        <v>690</v>
      </c>
    </row>
    <row r="35" spans="1:13" ht="49.5">
      <c r="A35" s="12">
        <v>22</v>
      </c>
      <c r="B35" s="12" t="s">
        <v>76</v>
      </c>
      <c r="C35" s="12" t="s">
        <v>77</v>
      </c>
      <c r="D35" s="13">
        <v>1215</v>
      </c>
      <c r="E35" s="13"/>
      <c r="F35" s="13"/>
      <c r="G35" s="17">
        <f>1215</f>
        <v>1215</v>
      </c>
      <c r="H35" s="13"/>
      <c r="I35" s="13"/>
      <c r="J35" s="14" t="s">
        <v>27</v>
      </c>
      <c r="K35" s="15"/>
      <c r="L35" s="20" t="s">
        <v>51</v>
      </c>
      <c r="M35" s="17">
        <f>1215</f>
        <v>1215</v>
      </c>
    </row>
    <row r="36" spans="1:13" ht="98.25">
      <c r="A36" s="12">
        <v>23</v>
      </c>
      <c r="B36" s="12" t="s">
        <v>78</v>
      </c>
      <c r="C36" s="12" t="s">
        <v>79</v>
      </c>
      <c r="D36" s="13">
        <v>20946.86</v>
      </c>
      <c r="E36" s="13"/>
      <c r="F36" s="13"/>
      <c r="G36" s="17">
        <f>20946.86</f>
        <v>20946.86</v>
      </c>
      <c r="H36" s="13"/>
      <c r="I36" s="13"/>
      <c r="J36" s="14" t="s">
        <v>27</v>
      </c>
      <c r="K36" s="15"/>
      <c r="L36" s="19" t="s">
        <v>43</v>
      </c>
      <c r="M36" s="17">
        <f>20946.86</f>
        <v>20946.86</v>
      </c>
    </row>
    <row r="37" spans="1:13" ht="98.25">
      <c r="A37" s="12">
        <v>24</v>
      </c>
      <c r="B37" s="12" t="s">
        <v>78</v>
      </c>
      <c r="C37" s="12" t="s">
        <v>80</v>
      </c>
      <c r="D37" s="13">
        <v>690</v>
      </c>
      <c r="E37" s="13"/>
      <c r="F37" s="13"/>
      <c r="G37" s="17">
        <f>555.33</f>
        <v>555.33000000000004</v>
      </c>
      <c r="H37" s="13"/>
      <c r="I37" s="13"/>
      <c r="J37" s="14" t="s">
        <v>27</v>
      </c>
      <c r="K37" s="15"/>
      <c r="L37" s="19" t="s">
        <v>43</v>
      </c>
      <c r="M37" s="17">
        <f>555.33</f>
        <v>555.33000000000004</v>
      </c>
    </row>
    <row r="38" spans="1:13" ht="49.5">
      <c r="A38" s="12">
        <v>25</v>
      </c>
      <c r="B38" s="12" t="s">
        <v>81</v>
      </c>
      <c r="C38" s="12" t="s">
        <v>70</v>
      </c>
      <c r="D38" s="13">
        <v>3285.24</v>
      </c>
      <c r="E38" s="13"/>
      <c r="F38" s="13"/>
      <c r="G38" s="17">
        <f>3285.24</f>
        <v>3285.24</v>
      </c>
      <c r="H38" s="13"/>
      <c r="I38" s="13"/>
      <c r="J38" s="14" t="s">
        <v>27</v>
      </c>
      <c r="K38" s="15"/>
      <c r="L38" s="20" t="s">
        <v>51</v>
      </c>
      <c r="M38" s="17">
        <f>3285.24</f>
        <v>3285.24</v>
      </c>
    </row>
    <row r="39" spans="1:13" ht="49.5">
      <c r="A39" s="12">
        <v>26</v>
      </c>
      <c r="B39" s="12" t="s">
        <v>82</v>
      </c>
      <c r="C39" s="12" t="s">
        <v>77</v>
      </c>
      <c r="D39" s="13">
        <v>1735.78</v>
      </c>
      <c r="E39" s="13"/>
      <c r="F39" s="13"/>
      <c r="G39" s="17">
        <f>1735.78</f>
        <v>1735.78</v>
      </c>
      <c r="H39" s="13"/>
      <c r="I39" s="13"/>
      <c r="J39" s="14" t="s">
        <v>27</v>
      </c>
      <c r="K39" s="15"/>
      <c r="L39" s="20" t="s">
        <v>51</v>
      </c>
      <c r="M39" s="17">
        <f>1735.78</f>
        <v>1735.78</v>
      </c>
    </row>
    <row r="40" spans="1:13" ht="49.5">
      <c r="A40" s="12">
        <v>27</v>
      </c>
      <c r="B40" s="12" t="s">
        <v>83</v>
      </c>
      <c r="C40" s="12" t="s">
        <v>50</v>
      </c>
      <c r="D40" s="13">
        <v>2470</v>
      </c>
      <c r="E40" s="13"/>
      <c r="F40" s="13"/>
      <c r="G40" s="17">
        <f>2470</f>
        <v>2470</v>
      </c>
      <c r="H40" s="13"/>
      <c r="I40" s="13"/>
      <c r="J40" s="14" t="s">
        <v>27</v>
      </c>
      <c r="K40" s="15"/>
      <c r="L40" s="20" t="s">
        <v>51</v>
      </c>
      <c r="M40" s="17">
        <f>2470</f>
        <v>2470</v>
      </c>
    </row>
    <row r="41" spans="1:13" ht="49.5">
      <c r="A41" s="12">
        <v>28</v>
      </c>
      <c r="B41" s="12" t="s">
        <v>21</v>
      </c>
      <c r="C41" s="12" t="s">
        <v>84</v>
      </c>
      <c r="D41" s="13">
        <v>100</v>
      </c>
      <c r="E41" s="13"/>
      <c r="F41" s="13"/>
      <c r="G41" s="17">
        <f>100</f>
        <v>100</v>
      </c>
      <c r="H41" s="13"/>
      <c r="I41" s="13"/>
      <c r="J41" s="14" t="s">
        <v>27</v>
      </c>
      <c r="K41" s="15"/>
      <c r="L41" s="20" t="s">
        <v>31</v>
      </c>
      <c r="M41" s="17">
        <f>100</f>
        <v>100</v>
      </c>
    </row>
    <row r="42" spans="1:13" ht="49.5">
      <c r="A42" s="12">
        <v>29</v>
      </c>
      <c r="B42" s="12" t="s">
        <v>21</v>
      </c>
      <c r="C42" s="12" t="s">
        <v>85</v>
      </c>
      <c r="D42" s="13">
        <v>10</v>
      </c>
      <c r="E42" s="13"/>
      <c r="F42" s="13"/>
      <c r="G42" s="17">
        <f>10</f>
        <v>10</v>
      </c>
      <c r="H42" s="13"/>
      <c r="I42" s="13"/>
      <c r="J42" s="14" t="s">
        <v>27</v>
      </c>
      <c r="K42" s="15"/>
      <c r="L42" s="20" t="s">
        <v>31</v>
      </c>
      <c r="M42" s="17">
        <f>10</f>
        <v>10</v>
      </c>
    </row>
    <row r="43" spans="1:13" ht="49.5">
      <c r="A43" s="12">
        <v>30</v>
      </c>
      <c r="B43" s="12" t="s">
        <v>74</v>
      </c>
      <c r="C43" s="12" t="s">
        <v>70</v>
      </c>
      <c r="D43" s="13">
        <v>3570</v>
      </c>
      <c r="E43" s="13"/>
      <c r="F43" s="13"/>
      <c r="G43" s="17">
        <f>3570</f>
        <v>3570</v>
      </c>
      <c r="H43" s="13"/>
      <c r="I43" s="13"/>
      <c r="J43" s="14" t="s">
        <v>27</v>
      </c>
      <c r="K43" s="15"/>
      <c r="L43" s="20" t="s">
        <v>51</v>
      </c>
      <c r="M43" s="17">
        <f>3570</f>
        <v>3570</v>
      </c>
    </row>
    <row r="44" spans="1:13" ht="49.5">
      <c r="A44" s="12">
        <v>31</v>
      </c>
      <c r="B44" s="12" t="s">
        <v>74</v>
      </c>
      <c r="C44" s="12" t="s">
        <v>72</v>
      </c>
      <c r="D44" s="13">
        <v>600</v>
      </c>
      <c r="E44" s="13"/>
      <c r="F44" s="13"/>
      <c r="G44" s="17">
        <f>600</f>
        <v>600</v>
      </c>
      <c r="H44" s="13"/>
      <c r="I44" s="13"/>
      <c r="J44" s="14" t="s">
        <v>27</v>
      </c>
      <c r="K44" s="15"/>
      <c r="L44" s="20" t="s">
        <v>51</v>
      </c>
      <c r="M44" s="17">
        <f>600</f>
        <v>600</v>
      </c>
    </row>
    <row r="45" spans="1:13" ht="49.5">
      <c r="A45" s="12">
        <v>32</v>
      </c>
      <c r="B45" s="12" t="s">
        <v>86</v>
      </c>
      <c r="C45" s="12" t="s">
        <v>70</v>
      </c>
      <c r="D45" s="13">
        <v>1500</v>
      </c>
      <c r="E45" s="13"/>
      <c r="F45" s="13"/>
      <c r="G45" s="17">
        <f>1500</f>
        <v>1500</v>
      </c>
      <c r="H45" s="13"/>
      <c r="I45" s="13"/>
      <c r="J45" s="14" t="s">
        <v>27</v>
      </c>
      <c r="K45" s="15"/>
      <c r="L45" s="20" t="s">
        <v>51</v>
      </c>
      <c r="M45" s="17">
        <f>1500</f>
        <v>1500</v>
      </c>
    </row>
    <row r="46" spans="1:13" ht="49.5">
      <c r="A46" s="12">
        <v>33</v>
      </c>
      <c r="B46" s="12" t="s">
        <v>87</v>
      </c>
      <c r="C46" s="12" t="s">
        <v>88</v>
      </c>
      <c r="D46" s="13">
        <v>1100</v>
      </c>
      <c r="E46" s="13"/>
      <c r="F46" s="13"/>
      <c r="G46" s="17">
        <f>1100</f>
        <v>1100</v>
      </c>
      <c r="H46" s="13"/>
      <c r="I46" s="13"/>
      <c r="J46" s="14" t="s">
        <v>27</v>
      </c>
      <c r="K46" s="15"/>
      <c r="L46" s="20" t="s">
        <v>31</v>
      </c>
      <c r="M46" s="17">
        <f>1100</f>
        <v>1100</v>
      </c>
    </row>
    <row r="47" spans="1:13" ht="49.5">
      <c r="A47" s="12">
        <v>34</v>
      </c>
      <c r="B47" s="12" t="s">
        <v>32</v>
      </c>
      <c r="C47" s="12" t="s">
        <v>89</v>
      </c>
      <c r="D47" s="13">
        <v>65</v>
      </c>
      <c r="E47" s="13"/>
      <c r="F47" s="13"/>
      <c r="G47" s="17">
        <f>65</f>
        <v>65</v>
      </c>
      <c r="H47" s="13"/>
      <c r="I47" s="13"/>
      <c r="J47" s="14" t="s">
        <v>27</v>
      </c>
      <c r="K47" s="15"/>
      <c r="L47" s="20" t="s">
        <v>31</v>
      </c>
      <c r="M47" s="17">
        <f>65</f>
        <v>65</v>
      </c>
    </row>
    <row r="48" spans="1:13" ht="98.25">
      <c r="A48" s="12">
        <v>35</v>
      </c>
      <c r="B48" s="12" t="s">
        <v>32</v>
      </c>
      <c r="C48" s="12" t="s">
        <v>26</v>
      </c>
      <c r="D48" s="13">
        <v>300</v>
      </c>
      <c r="E48" s="13"/>
      <c r="F48" s="13"/>
      <c r="G48" s="17">
        <f>300</f>
        <v>300</v>
      </c>
      <c r="H48" s="13"/>
      <c r="I48" s="13"/>
      <c r="J48" s="14" t="s">
        <v>27</v>
      </c>
      <c r="K48" s="15"/>
      <c r="L48" s="21" t="s">
        <v>28</v>
      </c>
      <c r="M48" s="17">
        <f>300</f>
        <v>300</v>
      </c>
    </row>
    <row r="49" spans="1:13" ht="49.5">
      <c r="A49" s="12">
        <v>36</v>
      </c>
      <c r="B49" s="12" t="s">
        <v>90</v>
      </c>
      <c r="C49" s="12" t="s">
        <v>72</v>
      </c>
      <c r="D49" s="13">
        <v>419.87</v>
      </c>
      <c r="E49" s="13"/>
      <c r="F49" s="13"/>
      <c r="G49" s="17">
        <f>419.87</f>
        <v>419.87</v>
      </c>
      <c r="H49" s="13"/>
      <c r="I49" s="13"/>
      <c r="J49" s="14" t="s">
        <v>27</v>
      </c>
      <c r="K49" s="15"/>
      <c r="L49" s="20" t="s">
        <v>51</v>
      </c>
      <c r="M49" s="17">
        <f>419.87</f>
        <v>419.87</v>
      </c>
    </row>
    <row r="50" spans="1:13" ht="49.5">
      <c r="A50" s="12">
        <v>37</v>
      </c>
      <c r="B50" s="12" t="s">
        <v>91</v>
      </c>
      <c r="C50" s="12" t="s">
        <v>72</v>
      </c>
      <c r="D50" s="13">
        <v>386</v>
      </c>
      <c r="E50" s="13"/>
      <c r="F50" s="13"/>
      <c r="G50" s="17">
        <f>386</f>
        <v>386</v>
      </c>
      <c r="H50" s="13"/>
      <c r="I50" s="13"/>
      <c r="J50" s="14" t="s">
        <v>27</v>
      </c>
      <c r="K50" s="15"/>
      <c r="L50" s="20" t="s">
        <v>51</v>
      </c>
      <c r="M50" s="17">
        <f>386</f>
        <v>386</v>
      </c>
    </row>
    <row r="51" spans="1:13" ht="49.5">
      <c r="A51" s="12">
        <v>38</v>
      </c>
      <c r="B51" s="12" t="s">
        <v>92</v>
      </c>
      <c r="C51" s="12" t="s">
        <v>72</v>
      </c>
      <c r="D51" s="13">
        <v>407.74</v>
      </c>
      <c r="E51" s="13"/>
      <c r="F51" s="13"/>
      <c r="G51" s="17">
        <f>407.74</f>
        <v>407.74</v>
      </c>
      <c r="H51" s="13"/>
      <c r="I51" s="13"/>
      <c r="J51" s="14" t="s">
        <v>27</v>
      </c>
      <c r="K51" s="15"/>
      <c r="L51" s="20" t="s">
        <v>51</v>
      </c>
      <c r="M51" s="17">
        <f>407.74</f>
        <v>407.74</v>
      </c>
    </row>
    <row r="52" spans="1:13" ht="49.5">
      <c r="A52" s="44">
        <v>39</v>
      </c>
      <c r="B52" s="12" t="s">
        <v>93</v>
      </c>
      <c r="C52" s="12" t="s">
        <v>94</v>
      </c>
      <c r="D52" s="13">
        <v>2650</v>
      </c>
      <c r="E52" s="13"/>
      <c r="F52" s="13"/>
      <c r="G52" s="17" t="s">
        <v>406</v>
      </c>
      <c r="H52" s="13"/>
      <c r="I52" s="13"/>
      <c r="J52" s="14" t="s">
        <v>27</v>
      </c>
      <c r="K52" s="15"/>
      <c r="L52" s="20" t="s">
        <v>31</v>
      </c>
      <c r="M52" s="17" t="s">
        <v>406</v>
      </c>
    </row>
    <row r="53" spans="1:13" ht="22.5">
      <c r="A53" s="12">
        <v>40</v>
      </c>
      <c r="B53" s="12" t="s">
        <v>95</v>
      </c>
      <c r="C53" s="12" t="s">
        <v>96</v>
      </c>
      <c r="D53" s="13">
        <v>21487.8</v>
      </c>
      <c r="E53" s="13"/>
      <c r="F53" s="13"/>
      <c r="G53" s="17">
        <f>21487.8</f>
        <v>21487.8</v>
      </c>
      <c r="H53" s="13"/>
      <c r="I53" s="13"/>
      <c r="J53" s="14" t="s">
        <v>97</v>
      </c>
      <c r="K53" s="22" t="s">
        <v>98</v>
      </c>
      <c r="L53" s="16"/>
      <c r="M53" s="17">
        <f>21487.8</f>
        <v>21487.8</v>
      </c>
    </row>
    <row r="54" spans="1:13" ht="49.5">
      <c r="A54" s="12">
        <v>41</v>
      </c>
      <c r="B54" s="12" t="s">
        <v>99</v>
      </c>
      <c r="C54" s="12" t="s">
        <v>100</v>
      </c>
      <c r="D54" s="13">
        <v>1554</v>
      </c>
      <c r="E54" s="13"/>
      <c r="F54" s="13"/>
      <c r="G54" s="17">
        <f>954</f>
        <v>954</v>
      </c>
      <c r="H54" s="13"/>
      <c r="I54" s="13"/>
      <c r="J54" s="14" t="s">
        <v>27</v>
      </c>
      <c r="K54" s="15"/>
      <c r="L54" s="20" t="s">
        <v>31</v>
      </c>
      <c r="M54" s="17">
        <f>954</f>
        <v>954</v>
      </c>
    </row>
    <row r="55" spans="1:13" ht="49.5">
      <c r="A55" s="12">
        <v>42</v>
      </c>
      <c r="B55" s="12" t="s">
        <v>101</v>
      </c>
      <c r="C55" s="12" t="s">
        <v>102</v>
      </c>
      <c r="D55" s="13">
        <v>90</v>
      </c>
      <c r="E55" s="13"/>
      <c r="F55" s="13"/>
      <c r="G55" s="17">
        <f>90</f>
        <v>90</v>
      </c>
      <c r="H55" s="13"/>
      <c r="I55" s="13"/>
      <c r="J55" s="14" t="s">
        <v>27</v>
      </c>
      <c r="K55" s="15"/>
      <c r="L55" s="20" t="s">
        <v>31</v>
      </c>
      <c r="M55" s="17">
        <f>90</f>
        <v>90</v>
      </c>
    </row>
    <row r="56" spans="1:13" ht="49.5">
      <c r="A56" s="12">
        <v>43</v>
      </c>
      <c r="B56" s="12" t="s">
        <v>101</v>
      </c>
      <c r="C56" s="12" t="s">
        <v>103</v>
      </c>
      <c r="D56" s="13">
        <v>225</v>
      </c>
      <c r="E56" s="13"/>
      <c r="F56" s="13"/>
      <c r="G56" s="17">
        <f>225</f>
        <v>225</v>
      </c>
      <c r="H56" s="13"/>
      <c r="I56" s="13"/>
      <c r="J56" s="14" t="s">
        <v>27</v>
      </c>
      <c r="K56" s="15"/>
      <c r="L56" s="20" t="s">
        <v>31</v>
      </c>
      <c r="M56" s="17">
        <f>225</f>
        <v>225</v>
      </c>
    </row>
    <row r="57" spans="1:13" ht="22.5">
      <c r="A57" s="12">
        <v>44</v>
      </c>
      <c r="B57" s="26" t="s">
        <v>104</v>
      </c>
      <c r="C57" s="12" t="s">
        <v>62</v>
      </c>
      <c r="D57" s="13">
        <v>17600</v>
      </c>
      <c r="E57" s="13"/>
      <c r="F57" s="13"/>
      <c r="G57" s="17">
        <f>9200</f>
        <v>9200</v>
      </c>
      <c r="H57" s="13"/>
      <c r="I57" s="13"/>
      <c r="J57" s="14" t="s">
        <v>10</v>
      </c>
      <c r="K57" s="22" t="s">
        <v>105</v>
      </c>
      <c r="L57" s="15"/>
      <c r="M57" s="17">
        <f>9200</f>
        <v>9200</v>
      </c>
    </row>
    <row r="58" spans="1:13" ht="49.5">
      <c r="A58" s="12">
        <v>45</v>
      </c>
      <c r="B58" s="12" t="s">
        <v>106</v>
      </c>
      <c r="C58" s="12" t="s">
        <v>107</v>
      </c>
      <c r="D58" s="13">
        <v>88.04</v>
      </c>
      <c r="E58" s="13"/>
      <c r="F58" s="13"/>
      <c r="G58" s="17">
        <f>88.04</f>
        <v>88.04</v>
      </c>
      <c r="H58" s="13"/>
      <c r="I58" s="13"/>
      <c r="J58" s="14" t="s">
        <v>27</v>
      </c>
      <c r="K58" s="15"/>
      <c r="L58" s="20" t="s">
        <v>51</v>
      </c>
      <c r="M58" s="17">
        <f>88.04</f>
        <v>88.04</v>
      </c>
    </row>
    <row r="59" spans="1:13" ht="49.5">
      <c r="A59" s="12">
        <v>46</v>
      </c>
      <c r="B59" s="12" t="s">
        <v>108</v>
      </c>
      <c r="C59" s="12" t="s">
        <v>84</v>
      </c>
      <c r="D59" s="13">
        <v>1600</v>
      </c>
      <c r="E59" s="13"/>
      <c r="F59" s="13"/>
      <c r="G59" s="17">
        <f>360</f>
        <v>360</v>
      </c>
      <c r="H59" s="13"/>
      <c r="I59" s="13"/>
      <c r="J59" s="14" t="s">
        <v>27</v>
      </c>
      <c r="K59" s="15"/>
      <c r="L59" s="20" t="s">
        <v>31</v>
      </c>
      <c r="M59" s="17">
        <f>360</f>
        <v>360</v>
      </c>
    </row>
    <row r="60" spans="1:13" ht="49.5">
      <c r="A60" s="12">
        <v>47</v>
      </c>
      <c r="B60" s="12" t="s">
        <v>108</v>
      </c>
      <c r="C60" s="12" t="s">
        <v>85</v>
      </c>
      <c r="D60" s="13">
        <v>185</v>
      </c>
      <c r="E60" s="13"/>
      <c r="F60" s="13"/>
      <c r="G60" s="17">
        <f>47</f>
        <v>47</v>
      </c>
      <c r="H60" s="13"/>
      <c r="I60" s="13"/>
      <c r="J60" s="14" t="s">
        <v>27</v>
      </c>
      <c r="K60" s="15"/>
      <c r="L60" s="20" t="s">
        <v>31</v>
      </c>
      <c r="M60" s="17">
        <f>47</f>
        <v>47</v>
      </c>
    </row>
    <row r="61" spans="1:13" ht="49.5">
      <c r="A61" s="12">
        <v>48</v>
      </c>
      <c r="B61" s="12" t="s">
        <v>109</v>
      </c>
      <c r="C61" s="12" t="s">
        <v>110</v>
      </c>
      <c r="D61" s="13">
        <v>80</v>
      </c>
      <c r="E61" s="13"/>
      <c r="F61" s="13"/>
      <c r="G61" s="17">
        <f>60</f>
        <v>60</v>
      </c>
      <c r="H61" s="13"/>
      <c r="I61" s="13"/>
      <c r="J61" s="14" t="s">
        <v>27</v>
      </c>
      <c r="K61" s="15"/>
      <c r="L61" s="27" t="s">
        <v>111</v>
      </c>
      <c r="M61" s="17">
        <f>60</f>
        <v>60</v>
      </c>
    </row>
    <row r="62" spans="1:13" ht="98.25">
      <c r="A62" s="12">
        <v>49</v>
      </c>
      <c r="B62" s="12" t="s">
        <v>112</v>
      </c>
      <c r="C62" s="12" t="s">
        <v>113</v>
      </c>
      <c r="D62" s="13">
        <v>556.98</v>
      </c>
      <c r="E62" s="13"/>
      <c r="F62" s="13"/>
      <c r="G62" s="17">
        <f>556.98</f>
        <v>556.98</v>
      </c>
      <c r="H62" s="13"/>
      <c r="I62" s="13"/>
      <c r="J62" s="14" t="s">
        <v>27</v>
      </c>
      <c r="K62" s="15"/>
      <c r="L62" s="21" t="s">
        <v>43</v>
      </c>
      <c r="M62" s="17">
        <f>556.98</f>
        <v>556.98</v>
      </c>
    </row>
    <row r="63" spans="1:13" ht="98.25">
      <c r="A63" s="12">
        <v>50</v>
      </c>
      <c r="B63" s="12" t="s">
        <v>112</v>
      </c>
      <c r="C63" s="12" t="s">
        <v>114</v>
      </c>
      <c r="D63" s="13">
        <v>13043.47</v>
      </c>
      <c r="E63" s="13"/>
      <c r="F63" s="13"/>
      <c r="G63" s="17">
        <f>13043.47</f>
        <v>13043.47</v>
      </c>
      <c r="H63" s="13"/>
      <c r="I63" s="13"/>
      <c r="J63" s="14" t="s">
        <v>27</v>
      </c>
      <c r="K63" s="15"/>
      <c r="L63" s="21" t="s">
        <v>43</v>
      </c>
      <c r="M63" s="17">
        <f>13043.47</f>
        <v>13043.47</v>
      </c>
    </row>
    <row r="64" spans="1:13" ht="49.5">
      <c r="A64" s="12">
        <v>51</v>
      </c>
      <c r="B64" s="12" t="s">
        <v>35</v>
      </c>
      <c r="C64" s="12" t="s">
        <v>88</v>
      </c>
      <c r="D64" s="13">
        <v>50</v>
      </c>
      <c r="E64" s="13"/>
      <c r="F64" s="13"/>
      <c r="G64" s="17">
        <f>50</f>
        <v>50</v>
      </c>
      <c r="H64" s="13"/>
      <c r="I64" s="13"/>
      <c r="J64" s="14" t="s">
        <v>27</v>
      </c>
      <c r="K64" s="15"/>
      <c r="L64" s="20" t="s">
        <v>31</v>
      </c>
      <c r="M64" s="17">
        <f>50</f>
        <v>50</v>
      </c>
    </row>
    <row r="65" spans="1:13" ht="49.5">
      <c r="A65" s="12">
        <v>52</v>
      </c>
      <c r="B65" s="25" t="s">
        <v>115</v>
      </c>
      <c r="C65" s="12" t="s">
        <v>116</v>
      </c>
      <c r="D65" s="13">
        <v>1386</v>
      </c>
      <c r="E65" s="13"/>
      <c r="F65" s="13"/>
      <c r="G65" s="17">
        <f>1386</f>
        <v>1386</v>
      </c>
      <c r="H65" s="13"/>
      <c r="I65" s="13"/>
      <c r="J65" s="14" t="s">
        <v>27</v>
      </c>
      <c r="K65" s="15"/>
      <c r="L65" s="20" t="s">
        <v>31</v>
      </c>
      <c r="M65" s="17">
        <f>1386</f>
        <v>1386</v>
      </c>
    </row>
    <row r="66" spans="1:13" ht="49.5">
      <c r="A66" s="12">
        <v>53</v>
      </c>
      <c r="B66" s="12" t="s">
        <v>39</v>
      </c>
      <c r="C66" s="12" t="s">
        <v>40</v>
      </c>
      <c r="D66" s="13">
        <v>883.33</v>
      </c>
      <c r="E66" s="13"/>
      <c r="F66" s="13"/>
      <c r="G66" s="17">
        <f>883.33</f>
        <v>883.33</v>
      </c>
      <c r="H66" s="13"/>
      <c r="I66" s="13"/>
      <c r="J66" s="14" t="s">
        <v>27</v>
      </c>
      <c r="K66" s="15"/>
      <c r="L66" s="20" t="s">
        <v>31</v>
      </c>
      <c r="M66" s="17">
        <f>883.33</f>
        <v>883.33</v>
      </c>
    </row>
    <row r="67" spans="1:13" ht="48.75">
      <c r="A67" s="12">
        <v>54</v>
      </c>
      <c r="B67" s="12" t="s">
        <v>117</v>
      </c>
      <c r="C67" s="12" t="s">
        <v>118</v>
      </c>
      <c r="D67" s="13">
        <v>500</v>
      </c>
      <c r="E67" s="13"/>
      <c r="F67" s="13"/>
      <c r="G67" s="17">
        <f>496.24</f>
        <v>496.24</v>
      </c>
      <c r="H67" s="13"/>
      <c r="I67" s="13"/>
      <c r="J67" s="14" t="s">
        <v>27</v>
      </c>
      <c r="K67" s="15"/>
      <c r="L67" s="20" t="s">
        <v>119</v>
      </c>
      <c r="M67" s="17">
        <f>496.24</f>
        <v>496.24</v>
      </c>
    </row>
    <row r="68" spans="1:13" ht="98.25">
      <c r="A68" s="12">
        <v>55</v>
      </c>
      <c r="B68" s="12" t="s">
        <v>120</v>
      </c>
      <c r="C68" s="12" t="s">
        <v>121</v>
      </c>
      <c r="D68" s="13">
        <f>11840.4+1315.6</f>
        <v>13156</v>
      </c>
      <c r="E68" s="13"/>
      <c r="F68" s="13"/>
      <c r="G68" s="17">
        <f>35235</f>
        <v>35235</v>
      </c>
      <c r="H68" s="13"/>
      <c r="I68" s="13"/>
      <c r="J68" s="14" t="s">
        <v>27</v>
      </c>
      <c r="K68" s="15"/>
      <c r="L68" s="21" t="s">
        <v>122</v>
      </c>
      <c r="M68" s="17">
        <f>35235</f>
        <v>35235</v>
      </c>
    </row>
    <row r="69" spans="1:13" ht="48.75">
      <c r="A69" s="12">
        <v>56</v>
      </c>
      <c r="B69" s="12" t="s">
        <v>123</v>
      </c>
      <c r="C69" s="12" t="s">
        <v>124</v>
      </c>
      <c r="D69" s="13">
        <v>500</v>
      </c>
      <c r="E69" s="13"/>
      <c r="F69" s="13"/>
      <c r="G69" s="17">
        <f>154</f>
        <v>154</v>
      </c>
      <c r="H69" s="13"/>
      <c r="I69" s="13"/>
      <c r="J69" s="14" t="s">
        <v>27</v>
      </c>
      <c r="K69" s="15"/>
      <c r="L69" s="20" t="s">
        <v>125</v>
      </c>
      <c r="M69" s="17">
        <f>154</f>
        <v>154</v>
      </c>
    </row>
    <row r="70" spans="1:13">
      <c r="A70" s="12">
        <v>57</v>
      </c>
      <c r="B70" s="12" t="s">
        <v>44</v>
      </c>
      <c r="C70" s="12" t="s">
        <v>126</v>
      </c>
      <c r="D70" s="13">
        <v>1525</v>
      </c>
      <c r="E70" s="13"/>
      <c r="F70" s="13"/>
      <c r="G70" s="17">
        <f>1525</f>
        <v>1525</v>
      </c>
      <c r="H70" s="13"/>
      <c r="I70" s="13"/>
      <c r="J70" s="14" t="s">
        <v>10</v>
      </c>
      <c r="K70" s="28" t="s">
        <v>127</v>
      </c>
      <c r="L70" s="16"/>
      <c r="M70" s="17">
        <f>1525</f>
        <v>1525</v>
      </c>
    </row>
    <row r="71" spans="1:13" ht="49.5">
      <c r="A71" s="12">
        <v>58</v>
      </c>
      <c r="B71" s="12" t="s">
        <v>128</v>
      </c>
      <c r="C71" s="12" t="s">
        <v>38</v>
      </c>
      <c r="D71" s="13">
        <v>550</v>
      </c>
      <c r="E71" s="13"/>
      <c r="F71" s="13"/>
      <c r="G71" s="17">
        <f>310</f>
        <v>310</v>
      </c>
      <c r="H71" s="13"/>
      <c r="I71" s="13"/>
      <c r="J71" s="14" t="s">
        <v>27</v>
      </c>
      <c r="K71" s="15"/>
      <c r="L71" s="20" t="s">
        <v>31</v>
      </c>
      <c r="M71" s="17">
        <f>310</f>
        <v>310</v>
      </c>
    </row>
    <row r="72" spans="1:13">
      <c r="A72" s="12">
        <v>59</v>
      </c>
      <c r="B72" s="12" t="s">
        <v>129</v>
      </c>
      <c r="C72" s="12" t="s">
        <v>130</v>
      </c>
      <c r="D72" s="13">
        <v>4995</v>
      </c>
      <c r="E72" s="13"/>
      <c r="F72" s="13"/>
      <c r="G72" s="17">
        <f>4995</f>
        <v>4995</v>
      </c>
      <c r="H72" s="13"/>
      <c r="I72" s="13"/>
      <c r="J72" s="14" t="s">
        <v>10</v>
      </c>
      <c r="K72" s="22" t="s">
        <v>131</v>
      </c>
      <c r="L72" s="16"/>
      <c r="M72" s="17">
        <f>4995</f>
        <v>4995</v>
      </c>
    </row>
    <row r="73" spans="1:13" ht="22.5">
      <c r="A73" s="12">
        <v>60</v>
      </c>
      <c r="B73" s="12" t="s">
        <v>132</v>
      </c>
      <c r="C73" s="12" t="s">
        <v>133</v>
      </c>
      <c r="D73" s="13">
        <v>2400</v>
      </c>
      <c r="E73" s="13"/>
      <c r="F73" s="13"/>
      <c r="G73" s="17">
        <f>2400</f>
        <v>2400</v>
      </c>
      <c r="H73" s="13"/>
      <c r="I73" s="13"/>
      <c r="J73" s="14" t="s">
        <v>10</v>
      </c>
      <c r="K73" s="22" t="s">
        <v>134</v>
      </c>
      <c r="L73" s="16"/>
      <c r="M73" s="17">
        <f>2400</f>
        <v>2400</v>
      </c>
    </row>
    <row r="74" spans="1:13" ht="49.5">
      <c r="A74" s="12">
        <v>61</v>
      </c>
      <c r="B74" s="12" t="s">
        <v>135</v>
      </c>
      <c r="C74" s="12" t="s">
        <v>136</v>
      </c>
      <c r="D74" s="13">
        <v>2239</v>
      </c>
      <c r="E74" s="13"/>
      <c r="F74" s="13"/>
      <c r="G74" s="17">
        <f>2239</f>
        <v>2239</v>
      </c>
      <c r="H74" s="13"/>
      <c r="I74" s="13"/>
      <c r="J74" s="14" t="s">
        <v>27</v>
      </c>
      <c r="K74" s="15"/>
      <c r="L74" s="20" t="s">
        <v>31</v>
      </c>
      <c r="M74" s="17">
        <f>2239</f>
        <v>2239</v>
      </c>
    </row>
    <row r="75" spans="1:13" ht="49.5">
      <c r="A75" s="12">
        <v>62</v>
      </c>
      <c r="B75" s="12" t="s">
        <v>137</v>
      </c>
      <c r="C75" s="12" t="s">
        <v>138</v>
      </c>
      <c r="D75" s="13">
        <v>47.7</v>
      </c>
      <c r="E75" s="13"/>
      <c r="F75" s="13"/>
      <c r="G75" s="17">
        <f>47.7</f>
        <v>47.7</v>
      </c>
      <c r="H75" s="13"/>
      <c r="I75" s="13"/>
      <c r="J75" s="14" t="s">
        <v>27</v>
      </c>
      <c r="K75" s="15"/>
      <c r="L75" s="20" t="s">
        <v>31</v>
      </c>
      <c r="M75" s="17">
        <f>47.7</f>
        <v>47.7</v>
      </c>
    </row>
    <row r="76" spans="1:13" ht="49.5">
      <c r="A76" s="12">
        <v>63</v>
      </c>
      <c r="B76" s="12" t="s">
        <v>139</v>
      </c>
      <c r="C76" s="12" t="s">
        <v>140</v>
      </c>
      <c r="D76" s="13">
        <v>119</v>
      </c>
      <c r="E76" s="13"/>
      <c r="F76" s="13"/>
      <c r="G76" s="17">
        <f>119</f>
        <v>119</v>
      </c>
      <c r="H76" s="13"/>
      <c r="I76" s="13"/>
      <c r="J76" s="14" t="s">
        <v>27</v>
      </c>
      <c r="K76" s="15"/>
      <c r="L76" s="20" t="s">
        <v>31</v>
      </c>
      <c r="M76" s="17">
        <f>119</f>
        <v>119</v>
      </c>
    </row>
    <row r="77" spans="1:13" ht="98.25">
      <c r="A77" s="12">
        <v>64</v>
      </c>
      <c r="B77" s="12" t="s">
        <v>141</v>
      </c>
      <c r="C77" s="12" t="s">
        <v>114</v>
      </c>
      <c r="D77" s="13">
        <v>21637.46</v>
      </c>
      <c r="E77" s="13"/>
      <c r="F77" s="13"/>
      <c r="G77" s="17">
        <f>21637.46</f>
        <v>21637.46</v>
      </c>
      <c r="H77" s="13"/>
      <c r="I77" s="13"/>
      <c r="J77" s="14" t="s">
        <v>27</v>
      </c>
      <c r="K77" s="15"/>
      <c r="L77" s="21" t="s">
        <v>43</v>
      </c>
      <c r="M77" s="17">
        <f>21637.46</f>
        <v>21637.46</v>
      </c>
    </row>
    <row r="78" spans="1:13" ht="98.25">
      <c r="A78" s="12">
        <v>65</v>
      </c>
      <c r="B78" s="12" t="s">
        <v>141</v>
      </c>
      <c r="C78" s="12" t="s">
        <v>142</v>
      </c>
      <c r="D78" s="13">
        <v>247.73</v>
      </c>
      <c r="E78" s="13"/>
      <c r="F78" s="13"/>
      <c r="G78" s="17">
        <f>247.73</f>
        <v>247.73</v>
      </c>
      <c r="H78" s="13"/>
      <c r="I78" s="13"/>
      <c r="J78" s="14" t="s">
        <v>27</v>
      </c>
      <c r="K78" s="15"/>
      <c r="L78" s="21" t="s">
        <v>43</v>
      </c>
      <c r="M78" s="17">
        <f>247.73</f>
        <v>247.73</v>
      </c>
    </row>
    <row r="79" spans="1:13" ht="49.5">
      <c r="A79" s="12">
        <v>66</v>
      </c>
      <c r="B79" s="12" t="s">
        <v>143</v>
      </c>
      <c r="C79" s="12" t="s">
        <v>144</v>
      </c>
      <c r="D79" s="13">
        <v>35</v>
      </c>
      <c r="E79" s="13"/>
      <c r="F79" s="13"/>
      <c r="G79" s="17">
        <f>35</f>
        <v>35</v>
      </c>
      <c r="H79" s="13"/>
      <c r="I79" s="13"/>
      <c r="J79" s="14" t="s">
        <v>27</v>
      </c>
      <c r="K79" s="15"/>
      <c r="L79" s="20" t="s">
        <v>31</v>
      </c>
      <c r="M79" s="17">
        <f>35</f>
        <v>35</v>
      </c>
    </row>
    <row r="80" spans="1:13" ht="48.75">
      <c r="A80" s="12">
        <v>67</v>
      </c>
      <c r="B80" s="12" t="s">
        <v>145</v>
      </c>
      <c r="C80" s="12" t="s">
        <v>72</v>
      </c>
      <c r="D80" s="13">
        <v>5000</v>
      </c>
      <c r="E80" s="13"/>
      <c r="F80" s="13"/>
      <c r="G80" s="17">
        <f>1584.13</f>
        <v>1584.13</v>
      </c>
      <c r="H80" s="13"/>
      <c r="I80" s="13"/>
      <c r="J80" s="14" t="s">
        <v>27</v>
      </c>
      <c r="K80" s="15"/>
      <c r="L80" s="20" t="s">
        <v>125</v>
      </c>
      <c r="M80" s="17">
        <f>1584.13</f>
        <v>1584.13</v>
      </c>
    </row>
    <row r="81" spans="1:13" ht="48.75">
      <c r="A81" s="12">
        <v>68</v>
      </c>
      <c r="B81" s="12" t="s">
        <v>146</v>
      </c>
      <c r="C81" s="12" t="s">
        <v>147</v>
      </c>
      <c r="D81" s="13">
        <v>798</v>
      </c>
      <c r="E81" s="13"/>
      <c r="F81" s="13"/>
      <c r="G81" s="17">
        <f>798.9</f>
        <v>798.9</v>
      </c>
      <c r="H81" s="13"/>
      <c r="I81" s="13"/>
      <c r="J81" s="14" t="s">
        <v>27</v>
      </c>
      <c r="K81" s="15"/>
      <c r="L81" s="20" t="s">
        <v>125</v>
      </c>
      <c r="M81" s="17">
        <f>798.9</f>
        <v>798.9</v>
      </c>
    </row>
    <row r="82" spans="1:13" ht="48.75">
      <c r="A82" s="12">
        <v>69</v>
      </c>
      <c r="B82" s="12" t="s">
        <v>148</v>
      </c>
      <c r="C82" s="12" t="s">
        <v>72</v>
      </c>
      <c r="D82" s="13">
        <v>85</v>
      </c>
      <c r="E82" s="13"/>
      <c r="F82" s="13"/>
      <c r="G82" s="17">
        <f>85</f>
        <v>85</v>
      </c>
      <c r="H82" s="13"/>
      <c r="I82" s="13"/>
      <c r="J82" s="14" t="s">
        <v>27</v>
      </c>
      <c r="K82" s="15"/>
      <c r="L82" s="20" t="s">
        <v>125</v>
      </c>
      <c r="M82" s="17">
        <f>85</f>
        <v>85</v>
      </c>
    </row>
    <row r="83" spans="1:13" ht="48.75">
      <c r="A83" s="12">
        <v>70</v>
      </c>
      <c r="B83" s="12" t="s">
        <v>149</v>
      </c>
      <c r="C83" s="12" t="s">
        <v>70</v>
      </c>
      <c r="D83" s="13">
        <v>669.41</v>
      </c>
      <c r="E83" s="13"/>
      <c r="F83" s="13"/>
      <c r="G83" s="17">
        <f>669.41</f>
        <v>669.41</v>
      </c>
      <c r="H83" s="13"/>
      <c r="I83" s="13"/>
      <c r="J83" s="14" t="s">
        <v>27</v>
      </c>
      <c r="K83" s="15"/>
      <c r="L83" s="20" t="s">
        <v>125</v>
      </c>
      <c r="M83" s="17">
        <f>669.41</f>
        <v>669.41</v>
      </c>
    </row>
    <row r="84" spans="1:13" ht="98.25">
      <c r="A84" s="12">
        <v>71</v>
      </c>
      <c r="B84" s="12" t="s">
        <v>112</v>
      </c>
      <c r="C84" s="12" t="s">
        <v>150</v>
      </c>
      <c r="D84" s="13">
        <v>46101.29</v>
      </c>
      <c r="E84" s="13"/>
      <c r="F84" s="13"/>
      <c r="G84" s="17">
        <f>46101.29</f>
        <v>46101.29</v>
      </c>
      <c r="H84" s="13"/>
      <c r="I84" s="13"/>
      <c r="J84" s="14" t="s">
        <v>27</v>
      </c>
      <c r="K84" s="15"/>
      <c r="L84" s="21" t="s">
        <v>43</v>
      </c>
      <c r="M84" s="17">
        <f>46101.29</f>
        <v>46101.29</v>
      </c>
    </row>
    <row r="85" spans="1:13" ht="98.25">
      <c r="A85" s="12">
        <v>72</v>
      </c>
      <c r="B85" s="12" t="s">
        <v>112</v>
      </c>
      <c r="C85" s="12" t="s">
        <v>80</v>
      </c>
      <c r="D85" s="13">
        <v>1165.49</v>
      </c>
      <c r="E85" s="13"/>
      <c r="F85" s="13"/>
      <c r="G85" s="17">
        <f>1165.49</f>
        <v>1165.49</v>
      </c>
      <c r="H85" s="13"/>
      <c r="I85" s="13"/>
      <c r="J85" s="14" t="s">
        <v>27</v>
      </c>
      <c r="K85" s="15"/>
      <c r="L85" s="21" t="s">
        <v>43</v>
      </c>
      <c r="M85" s="17">
        <f>1165.49</f>
        <v>1165.49</v>
      </c>
    </row>
    <row r="86" spans="1:13" ht="49.5">
      <c r="A86" s="12">
        <v>73</v>
      </c>
      <c r="B86" s="12" t="s">
        <v>143</v>
      </c>
      <c r="C86" s="12" t="s">
        <v>144</v>
      </c>
      <c r="D86" s="13">
        <v>55</v>
      </c>
      <c r="E86" s="13"/>
      <c r="F86" s="13"/>
      <c r="G86" s="17">
        <f>55</f>
        <v>55</v>
      </c>
      <c r="H86" s="13"/>
      <c r="I86" s="13"/>
      <c r="J86" s="14" t="s">
        <v>27</v>
      </c>
      <c r="K86" s="15"/>
      <c r="L86" s="20" t="s">
        <v>31</v>
      </c>
      <c r="M86" s="17">
        <f>55</f>
        <v>55</v>
      </c>
    </row>
    <row r="87" spans="1:13" ht="22.5">
      <c r="A87" s="12">
        <v>74</v>
      </c>
      <c r="B87" s="12" t="s">
        <v>151</v>
      </c>
      <c r="C87" s="12" t="s">
        <v>62</v>
      </c>
      <c r="D87" s="13">
        <v>2290</v>
      </c>
      <c r="E87" s="13"/>
      <c r="F87" s="13"/>
      <c r="G87" s="17">
        <f>2290</f>
        <v>2290</v>
      </c>
      <c r="H87" s="13"/>
      <c r="I87" s="13"/>
      <c r="J87" s="14" t="s">
        <v>10</v>
      </c>
      <c r="K87" s="31" t="s">
        <v>152</v>
      </c>
      <c r="L87" s="16"/>
      <c r="M87" s="17">
        <f>2290</f>
        <v>2290</v>
      </c>
    </row>
    <row r="88" spans="1:13" ht="48.75">
      <c r="A88" s="12">
        <v>75</v>
      </c>
      <c r="B88" s="12" t="s">
        <v>81</v>
      </c>
      <c r="C88" s="12" t="s">
        <v>70</v>
      </c>
      <c r="D88" s="13">
        <v>1345.54</v>
      </c>
      <c r="E88" s="13"/>
      <c r="F88" s="13"/>
      <c r="G88" s="17">
        <f>1345.54</f>
        <v>1345.54</v>
      </c>
      <c r="H88" s="13"/>
      <c r="I88" s="13"/>
      <c r="J88" s="14" t="s">
        <v>153</v>
      </c>
      <c r="K88" s="15"/>
      <c r="L88" s="20" t="s">
        <v>125</v>
      </c>
      <c r="M88" s="17">
        <f>1345.54</f>
        <v>1345.54</v>
      </c>
    </row>
    <row r="89" spans="1:13" ht="48.75">
      <c r="A89" s="12">
        <v>76</v>
      </c>
      <c r="B89" s="12" t="s">
        <v>154</v>
      </c>
      <c r="C89" s="12" t="s">
        <v>50</v>
      </c>
      <c r="D89" s="13">
        <v>2357.0500000000002</v>
      </c>
      <c r="E89" s="13"/>
      <c r="F89" s="13"/>
      <c r="G89" s="17">
        <f>2357.05</f>
        <v>2357.0500000000002</v>
      </c>
      <c r="H89" s="13"/>
      <c r="I89" s="13"/>
      <c r="J89" s="14" t="s">
        <v>153</v>
      </c>
      <c r="K89" s="15"/>
      <c r="L89" s="20" t="s">
        <v>125</v>
      </c>
      <c r="M89" s="17">
        <f>2357.05</f>
        <v>2357.0500000000002</v>
      </c>
    </row>
    <row r="90" spans="1:13" ht="48.75">
      <c r="A90" s="12">
        <v>77</v>
      </c>
      <c r="B90" s="12" t="s">
        <v>154</v>
      </c>
      <c r="C90" s="12" t="s">
        <v>77</v>
      </c>
      <c r="D90" s="13">
        <v>1770</v>
      </c>
      <c r="E90" s="13"/>
      <c r="F90" s="13"/>
      <c r="G90" s="17">
        <f>1770</f>
        <v>1770</v>
      </c>
      <c r="H90" s="13"/>
      <c r="I90" s="13"/>
      <c r="J90" s="14" t="s">
        <v>153</v>
      </c>
      <c r="K90" s="15"/>
      <c r="L90" s="20" t="s">
        <v>125</v>
      </c>
      <c r="M90" s="17">
        <f>1770</f>
        <v>1770</v>
      </c>
    </row>
    <row r="91" spans="1:13" ht="48.75">
      <c r="A91" s="12">
        <v>78</v>
      </c>
      <c r="B91" s="12" t="s">
        <v>155</v>
      </c>
      <c r="C91" s="12" t="s">
        <v>72</v>
      </c>
      <c r="D91" s="13">
        <v>99.08</v>
      </c>
      <c r="E91" s="13"/>
      <c r="F91" s="13"/>
      <c r="G91" s="17">
        <f>49.54</f>
        <v>49.54</v>
      </c>
      <c r="H91" s="13"/>
      <c r="I91" s="13"/>
      <c r="J91" s="14" t="s">
        <v>156</v>
      </c>
      <c r="K91" s="15"/>
      <c r="L91" s="20" t="s">
        <v>125</v>
      </c>
      <c r="M91" s="17">
        <f>49.54</f>
        <v>49.54</v>
      </c>
    </row>
    <row r="92" spans="1:13" ht="48.75">
      <c r="A92" s="12">
        <v>79</v>
      </c>
      <c r="B92" s="12" t="s">
        <v>155</v>
      </c>
      <c r="C92" s="12" t="s">
        <v>70</v>
      </c>
      <c r="D92" s="13">
        <v>644.04</v>
      </c>
      <c r="E92" s="13"/>
      <c r="F92" s="13"/>
      <c r="G92" s="17">
        <f>322.02</f>
        <v>322.02</v>
      </c>
      <c r="H92" s="13"/>
      <c r="I92" s="13"/>
      <c r="J92" s="14" t="s">
        <v>156</v>
      </c>
      <c r="K92" s="15"/>
      <c r="L92" s="20" t="s">
        <v>125</v>
      </c>
      <c r="M92" s="17">
        <f>322.02</f>
        <v>322.02</v>
      </c>
    </row>
    <row r="93" spans="1:13" ht="48.75">
      <c r="A93" s="12">
        <v>80</v>
      </c>
      <c r="B93" s="12" t="s">
        <v>157</v>
      </c>
      <c r="C93" s="12" t="s">
        <v>72</v>
      </c>
      <c r="D93" s="13">
        <v>90</v>
      </c>
      <c r="E93" s="13"/>
      <c r="F93" s="13"/>
      <c r="G93" s="17">
        <f>90</f>
        <v>90</v>
      </c>
      <c r="H93" s="13"/>
      <c r="I93" s="13"/>
      <c r="J93" s="14" t="s">
        <v>156</v>
      </c>
      <c r="K93" s="15"/>
      <c r="L93" s="20" t="s">
        <v>125</v>
      </c>
      <c r="M93" s="17">
        <f>90</f>
        <v>90</v>
      </c>
    </row>
    <row r="94" spans="1:13" ht="48.75">
      <c r="A94" s="44">
        <v>81</v>
      </c>
      <c r="B94" s="12" t="s">
        <v>157</v>
      </c>
      <c r="C94" s="12" t="s">
        <v>70</v>
      </c>
      <c r="D94" s="13">
        <v>540</v>
      </c>
      <c r="E94" s="13"/>
      <c r="F94" s="13"/>
      <c r="G94" s="17" t="s">
        <v>406</v>
      </c>
      <c r="H94" s="13"/>
      <c r="I94" s="13"/>
      <c r="J94" s="14" t="s">
        <v>156</v>
      </c>
      <c r="K94" s="15"/>
      <c r="L94" s="20" t="s">
        <v>125</v>
      </c>
      <c r="M94" s="17" t="s">
        <v>406</v>
      </c>
    </row>
    <row r="95" spans="1:13" ht="48.75">
      <c r="A95" s="12">
        <v>82</v>
      </c>
      <c r="B95" s="12" t="s">
        <v>158</v>
      </c>
      <c r="C95" s="12" t="s">
        <v>70</v>
      </c>
      <c r="D95" s="13">
        <v>360</v>
      </c>
      <c r="E95" s="13"/>
      <c r="F95" s="13"/>
      <c r="G95" s="17">
        <f>360</f>
        <v>360</v>
      </c>
      <c r="H95" s="13"/>
      <c r="I95" s="13"/>
      <c r="J95" s="14" t="s">
        <v>156</v>
      </c>
      <c r="K95" s="15"/>
      <c r="L95" s="20" t="s">
        <v>125</v>
      </c>
      <c r="M95" s="17">
        <f>360</f>
        <v>360</v>
      </c>
    </row>
    <row r="96" spans="1:13" ht="48.75">
      <c r="A96" s="12">
        <v>83</v>
      </c>
      <c r="B96" s="12" t="s">
        <v>159</v>
      </c>
      <c r="C96" s="12" t="s">
        <v>72</v>
      </c>
      <c r="D96" s="13">
        <v>105</v>
      </c>
      <c r="E96" s="13"/>
      <c r="F96" s="13"/>
      <c r="G96" s="17">
        <f>105</f>
        <v>105</v>
      </c>
      <c r="H96" s="13"/>
      <c r="I96" s="13"/>
      <c r="J96" s="14" t="s">
        <v>156</v>
      </c>
      <c r="K96" s="15"/>
      <c r="L96" s="20" t="s">
        <v>125</v>
      </c>
      <c r="M96" s="17">
        <f>105</f>
        <v>105</v>
      </c>
    </row>
    <row r="97" spans="1:13" ht="48.75">
      <c r="A97" s="12">
        <v>84</v>
      </c>
      <c r="B97" s="12" t="s">
        <v>91</v>
      </c>
      <c r="C97" s="12" t="s">
        <v>72</v>
      </c>
      <c r="D97" s="13">
        <v>105</v>
      </c>
      <c r="E97" s="13"/>
      <c r="F97" s="13"/>
      <c r="G97" s="17">
        <f>105</f>
        <v>105</v>
      </c>
      <c r="H97" s="13"/>
      <c r="I97" s="13"/>
      <c r="J97" s="14" t="s">
        <v>153</v>
      </c>
      <c r="K97" s="15"/>
      <c r="L97" s="20" t="s">
        <v>125</v>
      </c>
      <c r="M97" s="17">
        <f>105</f>
        <v>105</v>
      </c>
    </row>
    <row r="98" spans="1:13" ht="48.75">
      <c r="A98" s="12">
        <v>85</v>
      </c>
      <c r="B98" s="12" t="s">
        <v>160</v>
      </c>
      <c r="C98" s="12" t="s">
        <v>124</v>
      </c>
      <c r="D98" s="13">
        <v>15</v>
      </c>
      <c r="E98" s="13"/>
      <c r="F98" s="13"/>
      <c r="G98" s="17">
        <f>15</f>
        <v>15</v>
      </c>
      <c r="H98" s="13"/>
      <c r="I98" s="13"/>
      <c r="J98" s="14" t="s">
        <v>153</v>
      </c>
      <c r="K98" s="15"/>
      <c r="L98" s="20" t="s">
        <v>125</v>
      </c>
      <c r="M98" s="17">
        <f>15</f>
        <v>15</v>
      </c>
    </row>
    <row r="99" spans="1:13" ht="48.75">
      <c r="A99" s="12">
        <v>86</v>
      </c>
      <c r="B99" s="12" t="s">
        <v>90</v>
      </c>
      <c r="C99" s="12" t="s">
        <v>72</v>
      </c>
      <c r="D99" s="13">
        <v>400</v>
      </c>
      <c r="E99" s="13"/>
      <c r="F99" s="13"/>
      <c r="G99" s="17">
        <f>371.69</f>
        <v>371.69</v>
      </c>
      <c r="H99" s="13"/>
      <c r="I99" s="13"/>
      <c r="J99" s="14" t="s">
        <v>156</v>
      </c>
      <c r="K99" s="15"/>
      <c r="L99" s="20" t="s">
        <v>125</v>
      </c>
      <c r="M99" s="17">
        <f>371.69</f>
        <v>371.69</v>
      </c>
    </row>
    <row r="100" spans="1:13" ht="48.75">
      <c r="A100" s="12">
        <v>87</v>
      </c>
      <c r="B100" s="12" t="s">
        <v>161</v>
      </c>
      <c r="C100" s="12" t="s">
        <v>50</v>
      </c>
      <c r="D100" s="13">
        <v>2066</v>
      </c>
      <c r="E100" s="13"/>
      <c r="F100" s="13"/>
      <c r="G100" s="17">
        <f>2066</f>
        <v>2066</v>
      </c>
      <c r="H100" s="13"/>
      <c r="I100" s="13"/>
      <c r="J100" s="14" t="s">
        <v>156</v>
      </c>
      <c r="K100" s="15"/>
      <c r="L100" s="20" t="s">
        <v>125</v>
      </c>
      <c r="M100" s="17">
        <f>2066</f>
        <v>2066</v>
      </c>
    </row>
    <row r="101" spans="1:13" ht="48.75">
      <c r="A101" s="12">
        <v>88</v>
      </c>
      <c r="B101" s="12" t="s">
        <v>162</v>
      </c>
      <c r="C101" s="12" t="s">
        <v>70</v>
      </c>
      <c r="D101" s="13">
        <v>4676.1000000000004</v>
      </c>
      <c r="E101" s="13"/>
      <c r="F101" s="13"/>
      <c r="G101" s="17">
        <f>4676.1</f>
        <v>4676.1000000000004</v>
      </c>
      <c r="H101" s="13"/>
      <c r="I101" s="13"/>
      <c r="J101" s="14" t="s">
        <v>156</v>
      </c>
      <c r="K101" s="15"/>
      <c r="L101" s="20" t="s">
        <v>125</v>
      </c>
      <c r="M101" s="17">
        <f>4676.1</f>
        <v>4676.1000000000004</v>
      </c>
    </row>
    <row r="102" spans="1:13" ht="48.75">
      <c r="A102" s="12">
        <v>89</v>
      </c>
      <c r="B102" s="12" t="s">
        <v>163</v>
      </c>
      <c r="C102" s="12" t="s">
        <v>70</v>
      </c>
      <c r="D102" s="13">
        <v>1463.8</v>
      </c>
      <c r="E102" s="13"/>
      <c r="F102" s="13"/>
      <c r="G102" s="17">
        <f>1463.8</f>
        <v>1463.8</v>
      </c>
      <c r="H102" s="13"/>
      <c r="I102" s="13"/>
      <c r="J102" s="14" t="s">
        <v>156</v>
      </c>
      <c r="K102" s="15"/>
      <c r="L102" s="20" t="s">
        <v>125</v>
      </c>
      <c r="M102" s="17">
        <f>1463.8</f>
        <v>1463.8</v>
      </c>
    </row>
    <row r="103" spans="1:13" ht="48.75">
      <c r="A103" s="12">
        <v>90</v>
      </c>
      <c r="B103" s="12" t="s">
        <v>161</v>
      </c>
      <c r="C103" s="12" t="s">
        <v>77</v>
      </c>
      <c r="D103" s="13">
        <v>530</v>
      </c>
      <c r="E103" s="13"/>
      <c r="F103" s="13"/>
      <c r="G103" s="17">
        <f>530</f>
        <v>530</v>
      </c>
      <c r="H103" s="13"/>
      <c r="I103" s="13"/>
      <c r="J103" s="14" t="s">
        <v>156</v>
      </c>
      <c r="K103" s="15"/>
      <c r="L103" s="20" t="s">
        <v>125</v>
      </c>
      <c r="M103" s="17">
        <f>530</f>
        <v>530</v>
      </c>
    </row>
    <row r="104" spans="1:13" ht="48.75">
      <c r="A104" s="12">
        <v>91</v>
      </c>
      <c r="B104" s="12" t="s">
        <v>164</v>
      </c>
      <c r="C104" s="12" t="s">
        <v>72</v>
      </c>
      <c r="D104" s="13">
        <v>400</v>
      </c>
      <c r="E104" s="13"/>
      <c r="F104" s="13"/>
      <c r="G104" s="17">
        <f>399.08</f>
        <v>399.08</v>
      </c>
      <c r="H104" s="13"/>
      <c r="I104" s="13"/>
      <c r="J104" s="14" t="s">
        <v>156</v>
      </c>
      <c r="K104" s="15"/>
      <c r="L104" s="20" t="s">
        <v>125</v>
      </c>
      <c r="M104" s="17">
        <f>399.08</f>
        <v>399.08</v>
      </c>
    </row>
    <row r="105" spans="1:13" ht="48.75">
      <c r="A105" s="12">
        <v>93</v>
      </c>
      <c r="B105" s="12" t="s">
        <v>165</v>
      </c>
      <c r="C105" s="12" t="s">
        <v>70</v>
      </c>
      <c r="D105" s="13">
        <v>1350</v>
      </c>
      <c r="E105" s="13"/>
      <c r="F105" s="13"/>
      <c r="G105" s="17">
        <f>1350</f>
        <v>1350</v>
      </c>
      <c r="H105" s="13"/>
      <c r="I105" s="13"/>
      <c r="J105" s="14" t="s">
        <v>156</v>
      </c>
      <c r="K105" s="15"/>
      <c r="L105" s="20" t="s">
        <v>125</v>
      </c>
      <c r="M105" s="17">
        <f>1350</f>
        <v>1350</v>
      </c>
    </row>
    <row r="106" spans="1:13" ht="48.75">
      <c r="A106" s="12">
        <v>94</v>
      </c>
      <c r="B106" s="12" t="s">
        <v>165</v>
      </c>
      <c r="C106" s="12" t="s">
        <v>72</v>
      </c>
      <c r="D106" s="13">
        <v>350</v>
      </c>
      <c r="E106" s="13"/>
      <c r="F106" s="13"/>
      <c r="G106" s="17">
        <f>350</f>
        <v>350</v>
      </c>
      <c r="H106" s="13"/>
      <c r="I106" s="13"/>
      <c r="J106" s="14" t="s">
        <v>156</v>
      </c>
      <c r="K106" s="15"/>
      <c r="L106" s="20" t="s">
        <v>125</v>
      </c>
      <c r="M106" s="17">
        <f>350</f>
        <v>350</v>
      </c>
    </row>
    <row r="107" spans="1:13" ht="48.75">
      <c r="A107" s="12">
        <v>95</v>
      </c>
      <c r="B107" s="12" t="s">
        <v>166</v>
      </c>
      <c r="C107" s="12" t="s">
        <v>72</v>
      </c>
      <c r="D107" s="13">
        <v>300</v>
      </c>
      <c r="E107" s="13"/>
      <c r="F107" s="13"/>
      <c r="G107" s="17">
        <f>300</f>
        <v>300</v>
      </c>
      <c r="H107" s="13"/>
      <c r="I107" s="13"/>
      <c r="J107" s="14" t="s">
        <v>156</v>
      </c>
      <c r="K107" s="15"/>
      <c r="L107" s="20" t="s">
        <v>125</v>
      </c>
      <c r="M107" s="17">
        <f>300</f>
        <v>300</v>
      </c>
    </row>
    <row r="108" spans="1:13">
      <c r="A108" s="12">
        <v>97</v>
      </c>
      <c r="B108" s="12" t="s">
        <v>167</v>
      </c>
      <c r="C108" s="12" t="s">
        <v>168</v>
      </c>
      <c r="D108" s="13">
        <v>241600</v>
      </c>
      <c r="E108" s="13"/>
      <c r="F108" s="13"/>
      <c r="G108" s="17">
        <f>140933.32</f>
        <v>140933.32</v>
      </c>
      <c r="H108" s="13"/>
      <c r="I108" s="13"/>
      <c r="J108" s="14" t="s">
        <v>97</v>
      </c>
      <c r="K108" s="22" t="s">
        <v>169</v>
      </c>
      <c r="L108" s="16"/>
      <c r="M108" s="17">
        <f>140933.32</f>
        <v>140933.32</v>
      </c>
    </row>
    <row r="109" spans="1:13">
      <c r="A109" s="12">
        <v>98</v>
      </c>
      <c r="B109" s="12" t="s">
        <v>170</v>
      </c>
      <c r="C109" s="12" t="s">
        <v>171</v>
      </c>
      <c r="D109" s="13">
        <v>185000</v>
      </c>
      <c r="E109" s="13"/>
      <c r="F109" s="13"/>
      <c r="G109" s="17">
        <v>318036</v>
      </c>
      <c r="H109" s="13"/>
      <c r="I109" s="13"/>
      <c r="J109" s="14" t="s">
        <v>97</v>
      </c>
      <c r="K109" s="22" t="s">
        <v>172</v>
      </c>
      <c r="L109" s="16"/>
      <c r="M109" s="17">
        <v>318036</v>
      </c>
    </row>
    <row r="110" spans="1:13" ht="98.25">
      <c r="A110" s="12">
        <v>99</v>
      </c>
      <c r="B110" s="12" t="s">
        <v>112</v>
      </c>
      <c r="C110" s="12" t="s">
        <v>142</v>
      </c>
      <c r="D110" s="13">
        <v>500.48</v>
      </c>
      <c r="E110" s="13"/>
      <c r="F110" s="13"/>
      <c r="G110" s="17">
        <f>500.48</f>
        <v>500.48</v>
      </c>
      <c r="H110" s="13"/>
      <c r="I110" s="13"/>
      <c r="J110" s="14" t="s">
        <v>156</v>
      </c>
      <c r="K110" s="15"/>
      <c r="L110" s="21" t="s">
        <v>43</v>
      </c>
      <c r="M110" s="17">
        <f>500.48</f>
        <v>500.48</v>
      </c>
    </row>
    <row r="111" spans="1:13" ht="98.25">
      <c r="A111" s="12">
        <v>100</v>
      </c>
      <c r="B111" s="12" t="s">
        <v>112</v>
      </c>
      <c r="C111" s="12" t="s">
        <v>150</v>
      </c>
      <c r="D111" s="13">
        <v>22129.919999999998</v>
      </c>
      <c r="E111" s="13"/>
      <c r="F111" s="13"/>
      <c r="G111" s="17">
        <f>22129.92</f>
        <v>22129.919999999998</v>
      </c>
      <c r="H111" s="13"/>
      <c r="I111" s="13"/>
      <c r="J111" s="14" t="s">
        <v>156</v>
      </c>
      <c r="K111" s="15"/>
      <c r="L111" s="21" t="s">
        <v>43</v>
      </c>
      <c r="M111" s="17">
        <f>22129.92</f>
        <v>22129.919999999998</v>
      </c>
    </row>
    <row r="112" spans="1:13" ht="49.5">
      <c r="A112" s="12">
        <v>101</v>
      </c>
      <c r="B112" s="12" t="s">
        <v>173</v>
      </c>
      <c r="C112" s="12" t="s">
        <v>174</v>
      </c>
      <c r="D112" s="13">
        <v>2880</v>
      </c>
      <c r="E112" s="13"/>
      <c r="F112" s="13"/>
      <c r="G112" s="17">
        <f>2880</f>
        <v>2880</v>
      </c>
      <c r="H112" s="13"/>
      <c r="I112" s="13"/>
      <c r="J112" s="14" t="s">
        <v>156</v>
      </c>
      <c r="K112" s="15"/>
      <c r="L112" s="20" t="s">
        <v>31</v>
      </c>
      <c r="M112" s="17">
        <f>2880</f>
        <v>2880</v>
      </c>
    </row>
    <row r="113" spans="1:13" ht="48.75">
      <c r="A113" s="12">
        <v>102</v>
      </c>
      <c r="B113" s="12" t="s">
        <v>175</v>
      </c>
      <c r="C113" s="12" t="s">
        <v>176</v>
      </c>
      <c r="D113" s="13">
        <v>133</v>
      </c>
      <c r="E113" s="13"/>
      <c r="F113" s="13"/>
      <c r="G113" s="17">
        <f>133</f>
        <v>133</v>
      </c>
      <c r="H113" s="13"/>
      <c r="I113" s="13"/>
      <c r="J113" s="14" t="s">
        <v>156</v>
      </c>
      <c r="K113" s="15"/>
      <c r="L113" s="20" t="s">
        <v>125</v>
      </c>
      <c r="M113" s="17">
        <f>133</f>
        <v>133</v>
      </c>
    </row>
    <row r="114" spans="1:13" ht="22.5">
      <c r="A114" s="12">
        <v>103</v>
      </c>
      <c r="B114" s="12" t="s">
        <v>177</v>
      </c>
      <c r="C114" s="12" t="s">
        <v>178</v>
      </c>
      <c r="D114" s="13">
        <v>408</v>
      </c>
      <c r="E114" s="13"/>
      <c r="F114" s="13"/>
      <c r="G114" s="17">
        <f>408</f>
        <v>408</v>
      </c>
      <c r="H114" s="13"/>
      <c r="I114" s="13"/>
      <c r="J114" s="14" t="s">
        <v>10</v>
      </c>
      <c r="K114" s="22" t="s">
        <v>179</v>
      </c>
      <c r="L114" s="16"/>
      <c r="M114" s="17">
        <f>408</f>
        <v>408</v>
      </c>
    </row>
    <row r="115" spans="1:13" ht="108">
      <c r="A115" s="12">
        <v>104</v>
      </c>
      <c r="B115" s="12" t="s">
        <v>52</v>
      </c>
      <c r="C115" s="12" t="s">
        <v>33</v>
      </c>
      <c r="D115" s="13">
        <v>9000</v>
      </c>
      <c r="E115" s="13"/>
      <c r="F115" s="13"/>
      <c r="G115" s="17">
        <f>3072.2</f>
        <v>3072.2</v>
      </c>
      <c r="H115" s="13"/>
      <c r="I115" s="13"/>
      <c r="J115" s="14" t="s">
        <v>53</v>
      </c>
      <c r="K115" s="29" t="s">
        <v>180</v>
      </c>
      <c r="L115" s="30" t="s">
        <v>181</v>
      </c>
      <c r="M115" s="17">
        <f>3072.2</f>
        <v>3072.2</v>
      </c>
    </row>
    <row r="116" spans="1:13" ht="22.5">
      <c r="A116" s="12">
        <v>105</v>
      </c>
      <c r="B116" s="12" t="s">
        <v>182</v>
      </c>
      <c r="C116" s="12" t="s">
        <v>183</v>
      </c>
      <c r="D116" s="13">
        <v>48000</v>
      </c>
      <c r="E116" s="13"/>
      <c r="F116" s="13"/>
      <c r="G116" s="17">
        <f>34000</f>
        <v>34000</v>
      </c>
      <c r="H116" s="13"/>
      <c r="I116" s="13"/>
      <c r="J116" s="14" t="s">
        <v>10</v>
      </c>
      <c r="K116" s="22" t="s">
        <v>184</v>
      </c>
      <c r="L116" s="16"/>
      <c r="M116" s="17">
        <f>34000</f>
        <v>34000</v>
      </c>
    </row>
    <row r="117" spans="1:13" ht="22.5">
      <c r="A117" s="12">
        <v>106</v>
      </c>
      <c r="B117" s="12" t="s">
        <v>185</v>
      </c>
      <c r="C117" s="12" t="s">
        <v>186</v>
      </c>
      <c r="D117" s="13">
        <v>397</v>
      </c>
      <c r="E117" s="13"/>
      <c r="F117" s="13"/>
      <c r="G117" s="17">
        <f>397</f>
        <v>397</v>
      </c>
      <c r="H117" s="13"/>
      <c r="I117" s="13"/>
      <c r="J117" s="14" t="s">
        <v>10</v>
      </c>
      <c r="K117" s="22" t="s">
        <v>187</v>
      </c>
      <c r="L117" s="16"/>
      <c r="M117" s="17">
        <f>397</f>
        <v>397</v>
      </c>
    </row>
    <row r="118" spans="1:13" ht="49.5">
      <c r="A118" s="12">
        <v>107</v>
      </c>
      <c r="B118" s="12" t="s">
        <v>109</v>
      </c>
      <c r="C118" s="12" t="s">
        <v>110</v>
      </c>
      <c r="D118" s="13">
        <v>100</v>
      </c>
      <c r="E118" s="13"/>
      <c r="F118" s="13"/>
      <c r="G118" s="17">
        <f>100</f>
        <v>100</v>
      </c>
      <c r="H118" s="13"/>
      <c r="I118" s="13"/>
      <c r="J118" s="14" t="s">
        <v>27</v>
      </c>
      <c r="K118" s="15"/>
      <c r="L118" s="20" t="s">
        <v>111</v>
      </c>
      <c r="M118" s="17">
        <f>100</f>
        <v>100</v>
      </c>
    </row>
    <row r="119" spans="1:13" ht="49.5">
      <c r="A119" s="12">
        <v>108</v>
      </c>
      <c r="B119" s="12" t="s">
        <v>188</v>
      </c>
      <c r="C119" s="12" t="s">
        <v>72</v>
      </c>
      <c r="D119" s="13">
        <v>600</v>
      </c>
      <c r="E119" s="13"/>
      <c r="F119" s="13"/>
      <c r="G119" s="17">
        <f>597.65</f>
        <v>597.65</v>
      </c>
      <c r="H119" s="13"/>
      <c r="I119" s="13"/>
      <c r="J119" s="14" t="s">
        <v>27</v>
      </c>
      <c r="K119" s="15"/>
      <c r="L119" s="20" t="s">
        <v>51</v>
      </c>
      <c r="M119" s="17">
        <f>597.65</f>
        <v>597.65</v>
      </c>
    </row>
    <row r="120" spans="1:13" ht="49.5">
      <c r="A120" s="12">
        <v>109</v>
      </c>
      <c r="B120" s="12" t="s">
        <v>189</v>
      </c>
      <c r="C120" s="12" t="s">
        <v>72</v>
      </c>
      <c r="D120" s="13">
        <v>600</v>
      </c>
      <c r="E120" s="13"/>
      <c r="F120" s="13"/>
      <c r="G120" s="17">
        <f>599.94</f>
        <v>599.94000000000005</v>
      </c>
      <c r="H120" s="13"/>
      <c r="I120" s="13"/>
      <c r="J120" s="14" t="s">
        <v>27</v>
      </c>
      <c r="K120" s="15"/>
      <c r="L120" s="20" t="s">
        <v>51</v>
      </c>
      <c r="M120" s="17">
        <f>599.94</f>
        <v>599.94000000000005</v>
      </c>
    </row>
    <row r="121" spans="1:13" ht="49.5">
      <c r="A121" s="12">
        <v>110</v>
      </c>
      <c r="B121" s="12" t="s">
        <v>190</v>
      </c>
      <c r="C121" s="12" t="s">
        <v>72</v>
      </c>
      <c r="D121" s="13">
        <v>500</v>
      </c>
      <c r="E121" s="13"/>
      <c r="F121" s="13"/>
      <c r="G121" s="17">
        <f>500</f>
        <v>500</v>
      </c>
      <c r="H121" s="13"/>
      <c r="I121" s="13"/>
      <c r="J121" s="14" t="s">
        <v>27</v>
      </c>
      <c r="K121" s="15"/>
      <c r="L121" s="20" t="s">
        <v>51</v>
      </c>
      <c r="M121" s="17">
        <f>500</f>
        <v>500</v>
      </c>
    </row>
    <row r="122" spans="1:13" ht="49.5">
      <c r="A122" s="12">
        <v>111</v>
      </c>
      <c r="B122" s="12" t="s">
        <v>166</v>
      </c>
      <c r="C122" s="12" t="s">
        <v>72</v>
      </c>
      <c r="D122" s="13">
        <v>500</v>
      </c>
      <c r="E122" s="13"/>
      <c r="F122" s="13"/>
      <c r="G122" s="17">
        <f>500</f>
        <v>500</v>
      </c>
      <c r="H122" s="13"/>
      <c r="I122" s="13"/>
      <c r="J122" s="14" t="s">
        <v>27</v>
      </c>
      <c r="K122" s="15"/>
      <c r="L122" s="20" t="s">
        <v>51</v>
      </c>
      <c r="M122" s="17">
        <f>500</f>
        <v>500</v>
      </c>
    </row>
    <row r="123" spans="1:13" ht="49.5">
      <c r="A123" s="12">
        <v>112</v>
      </c>
      <c r="B123" s="12" t="s">
        <v>191</v>
      </c>
      <c r="C123" s="12" t="s">
        <v>72</v>
      </c>
      <c r="D123" s="13">
        <v>500</v>
      </c>
      <c r="E123" s="13"/>
      <c r="F123" s="13"/>
      <c r="G123" s="17">
        <f>474.87</f>
        <v>474.87</v>
      </c>
      <c r="H123" s="13"/>
      <c r="I123" s="13"/>
      <c r="J123" s="14" t="s">
        <v>27</v>
      </c>
      <c r="K123" s="15"/>
      <c r="L123" s="20" t="s">
        <v>51</v>
      </c>
      <c r="M123" s="17">
        <f>474.87</f>
        <v>474.87</v>
      </c>
    </row>
    <row r="124" spans="1:13" ht="49.5">
      <c r="A124" s="12">
        <v>113</v>
      </c>
      <c r="B124" s="12" t="s">
        <v>192</v>
      </c>
      <c r="C124" s="12" t="s">
        <v>70</v>
      </c>
      <c r="D124" s="13">
        <v>7500</v>
      </c>
      <c r="E124" s="13"/>
      <c r="F124" s="13"/>
      <c r="G124" s="17">
        <f>7500</f>
        <v>7500</v>
      </c>
      <c r="H124" s="13"/>
      <c r="I124" s="13"/>
      <c r="J124" s="14" t="s">
        <v>27</v>
      </c>
      <c r="K124" s="15"/>
      <c r="L124" s="20" t="s">
        <v>51</v>
      </c>
      <c r="M124" s="17">
        <f>7500</f>
        <v>7500</v>
      </c>
    </row>
    <row r="125" spans="1:13" ht="49.5">
      <c r="A125" s="12">
        <v>114</v>
      </c>
      <c r="B125" s="12" t="s">
        <v>193</v>
      </c>
      <c r="C125" s="12" t="s">
        <v>50</v>
      </c>
      <c r="D125" s="13">
        <v>2000</v>
      </c>
      <c r="E125" s="13"/>
      <c r="F125" s="13"/>
      <c r="G125" s="17">
        <f>2000</f>
        <v>2000</v>
      </c>
      <c r="H125" s="13"/>
      <c r="I125" s="13"/>
      <c r="J125" s="14" t="s">
        <v>27</v>
      </c>
      <c r="K125" s="15"/>
      <c r="L125" s="20" t="s">
        <v>51</v>
      </c>
      <c r="M125" s="17">
        <f>2000</f>
        <v>2000</v>
      </c>
    </row>
    <row r="126" spans="1:13" ht="49.5">
      <c r="A126" s="12">
        <v>116</v>
      </c>
      <c r="B126" s="12" t="s">
        <v>194</v>
      </c>
      <c r="C126" s="12" t="s">
        <v>195</v>
      </c>
      <c r="D126" s="13">
        <v>100</v>
      </c>
      <c r="E126" s="13"/>
      <c r="F126" s="13"/>
      <c r="G126" s="17">
        <f>100</f>
        <v>100</v>
      </c>
      <c r="H126" s="13"/>
      <c r="I126" s="13"/>
      <c r="J126" s="14" t="s">
        <v>27</v>
      </c>
      <c r="K126" s="15"/>
      <c r="L126" s="20" t="s">
        <v>51</v>
      </c>
      <c r="M126" s="17">
        <f>100</f>
        <v>100</v>
      </c>
    </row>
    <row r="127" spans="1:13" ht="49.5">
      <c r="A127" s="12">
        <v>117</v>
      </c>
      <c r="B127" s="12" t="s">
        <v>196</v>
      </c>
      <c r="C127" s="12" t="s">
        <v>197</v>
      </c>
      <c r="D127" s="13">
        <v>625</v>
      </c>
      <c r="E127" s="13"/>
      <c r="F127" s="13"/>
      <c r="G127" s="17">
        <f>625</f>
        <v>625</v>
      </c>
      <c r="H127" s="13"/>
      <c r="I127" s="13"/>
      <c r="J127" s="14" t="s">
        <v>27</v>
      </c>
      <c r="K127" s="15"/>
      <c r="L127" s="20" t="s">
        <v>51</v>
      </c>
      <c r="M127" s="17">
        <f>625</f>
        <v>625</v>
      </c>
    </row>
    <row r="128" spans="1:13" ht="49.5">
      <c r="A128" s="12">
        <v>118</v>
      </c>
      <c r="B128" s="12" t="s">
        <v>108</v>
      </c>
      <c r="C128" s="12" t="s">
        <v>198</v>
      </c>
      <c r="D128" s="13">
        <v>20</v>
      </c>
      <c r="E128" s="13"/>
      <c r="F128" s="13"/>
      <c r="G128" s="17">
        <f>20</f>
        <v>20</v>
      </c>
      <c r="H128" s="13"/>
      <c r="I128" s="13"/>
      <c r="J128" s="14" t="s">
        <v>27</v>
      </c>
      <c r="K128" s="15"/>
      <c r="L128" s="20" t="s">
        <v>31</v>
      </c>
      <c r="M128" s="17">
        <f>20</f>
        <v>20</v>
      </c>
    </row>
    <row r="129" spans="1:13" ht="22.5">
      <c r="A129" s="12">
        <v>119</v>
      </c>
      <c r="B129" s="12" t="s">
        <v>199</v>
      </c>
      <c r="C129" s="12" t="s">
        <v>200</v>
      </c>
      <c r="D129" s="13">
        <v>2630</v>
      </c>
      <c r="E129" s="13"/>
      <c r="F129" s="13"/>
      <c r="G129" s="17">
        <f>2630</f>
        <v>2630</v>
      </c>
      <c r="H129" s="13"/>
      <c r="I129" s="13"/>
      <c r="J129" s="14" t="s">
        <v>10</v>
      </c>
      <c r="K129" s="22" t="s">
        <v>201</v>
      </c>
      <c r="L129" s="16"/>
      <c r="M129" s="17">
        <f>2630</f>
        <v>2630</v>
      </c>
    </row>
    <row r="130" spans="1:13">
      <c r="A130" s="12">
        <v>120</v>
      </c>
      <c r="B130" s="12" t="s">
        <v>202</v>
      </c>
      <c r="C130" s="12" t="s">
        <v>62</v>
      </c>
      <c r="D130" s="13">
        <v>849</v>
      </c>
      <c r="E130" s="13"/>
      <c r="F130" s="13"/>
      <c r="G130" s="17">
        <f>149</f>
        <v>149</v>
      </c>
      <c r="H130" s="13"/>
      <c r="I130" s="13"/>
      <c r="J130" s="14" t="s">
        <v>10</v>
      </c>
      <c r="K130" s="31" t="s">
        <v>203</v>
      </c>
      <c r="L130" s="16"/>
      <c r="M130" s="17">
        <f>149</f>
        <v>149</v>
      </c>
    </row>
    <row r="131" spans="1:13" ht="22.5">
      <c r="A131" s="12">
        <v>121</v>
      </c>
      <c r="B131" s="12" t="s">
        <v>204</v>
      </c>
      <c r="C131" s="12" t="s">
        <v>205</v>
      </c>
      <c r="D131" s="13">
        <v>10618</v>
      </c>
      <c r="E131" s="13"/>
      <c r="F131" s="13"/>
      <c r="G131" s="17">
        <f>9448</f>
        <v>9448</v>
      </c>
      <c r="H131" s="13"/>
      <c r="I131" s="13"/>
      <c r="J131" s="14" t="s">
        <v>10</v>
      </c>
      <c r="K131" s="31" t="s">
        <v>206</v>
      </c>
      <c r="L131" s="16"/>
      <c r="M131" s="17">
        <f>9448</f>
        <v>9448</v>
      </c>
    </row>
    <row r="132" spans="1:13" ht="49.5">
      <c r="A132" s="12">
        <v>122</v>
      </c>
      <c r="B132" s="12" t="s">
        <v>207</v>
      </c>
      <c r="C132" s="12" t="s">
        <v>208</v>
      </c>
      <c r="D132" s="13">
        <v>189</v>
      </c>
      <c r="E132" s="13"/>
      <c r="F132" s="13"/>
      <c r="G132" s="17">
        <f>189</f>
        <v>189</v>
      </c>
      <c r="H132" s="13"/>
      <c r="I132" s="13"/>
      <c r="J132" s="14" t="s">
        <v>27</v>
      </c>
      <c r="K132" s="15"/>
      <c r="L132" s="20" t="s">
        <v>31</v>
      </c>
      <c r="M132" s="17">
        <f>189</f>
        <v>189</v>
      </c>
    </row>
    <row r="133" spans="1:13" ht="49.5">
      <c r="A133" s="12">
        <v>123</v>
      </c>
      <c r="B133" s="12" t="s">
        <v>209</v>
      </c>
      <c r="C133" s="12" t="s">
        <v>210</v>
      </c>
      <c r="D133" s="13">
        <v>225</v>
      </c>
      <c r="E133" s="13"/>
      <c r="F133" s="13"/>
      <c r="G133" s="17"/>
      <c r="H133" s="13"/>
      <c r="I133" s="13"/>
      <c r="J133" s="14" t="s">
        <v>27</v>
      </c>
      <c r="K133" s="15"/>
      <c r="L133" s="20" t="s">
        <v>31</v>
      </c>
      <c r="M133" s="17"/>
    </row>
    <row r="134" spans="1:13" ht="49.5">
      <c r="A134" s="12">
        <v>124</v>
      </c>
      <c r="B134" s="12" t="s">
        <v>211</v>
      </c>
      <c r="C134" s="12" t="s">
        <v>70</v>
      </c>
      <c r="D134" s="13">
        <v>1815</v>
      </c>
      <c r="E134" s="13"/>
      <c r="F134" s="13"/>
      <c r="G134" s="17">
        <f>1815</f>
        <v>1815</v>
      </c>
      <c r="H134" s="13"/>
      <c r="I134" s="13"/>
      <c r="J134" s="14" t="s">
        <v>27</v>
      </c>
      <c r="K134" s="15"/>
      <c r="L134" s="20" t="s">
        <v>51</v>
      </c>
      <c r="M134" s="17">
        <f>1815</f>
        <v>1815</v>
      </c>
    </row>
    <row r="135" spans="1:13" ht="49.5">
      <c r="A135" s="12">
        <v>125</v>
      </c>
      <c r="B135" s="32" t="s">
        <v>212</v>
      </c>
      <c r="C135" s="12" t="s">
        <v>70</v>
      </c>
      <c r="D135" s="13">
        <v>7775.46</v>
      </c>
      <c r="E135" s="13"/>
      <c r="F135" s="13"/>
      <c r="G135" s="17">
        <v>7775.46</v>
      </c>
      <c r="H135" s="13"/>
      <c r="I135" s="13"/>
      <c r="J135" s="14" t="s">
        <v>27</v>
      </c>
      <c r="K135" s="15"/>
      <c r="L135" s="20" t="s">
        <v>51</v>
      </c>
      <c r="M135" s="17">
        <v>7775.46</v>
      </c>
    </row>
    <row r="136" spans="1:13" ht="49.5">
      <c r="A136" s="12">
        <v>126</v>
      </c>
      <c r="B136" s="12" t="s">
        <v>213</v>
      </c>
      <c r="C136" s="12" t="s">
        <v>77</v>
      </c>
      <c r="D136" s="13">
        <v>1125</v>
      </c>
      <c r="E136" s="13"/>
      <c r="F136" s="13"/>
      <c r="G136" s="17">
        <f>1125</f>
        <v>1125</v>
      </c>
      <c r="H136" s="13"/>
      <c r="I136" s="13"/>
      <c r="J136" s="14" t="s">
        <v>27</v>
      </c>
      <c r="K136" s="15"/>
      <c r="L136" s="20" t="s">
        <v>51</v>
      </c>
      <c r="M136" s="17">
        <f>1125</f>
        <v>1125</v>
      </c>
    </row>
    <row r="137" spans="1:13" ht="49.5">
      <c r="A137" s="12">
        <v>127</v>
      </c>
      <c r="B137" s="12" t="s">
        <v>214</v>
      </c>
      <c r="C137" s="12" t="s">
        <v>50</v>
      </c>
      <c r="D137" s="13">
        <v>2360</v>
      </c>
      <c r="E137" s="13"/>
      <c r="F137" s="13"/>
      <c r="G137" s="17">
        <f>2360</f>
        <v>2360</v>
      </c>
      <c r="H137" s="13"/>
      <c r="I137" s="13"/>
      <c r="J137" s="14" t="s">
        <v>27</v>
      </c>
      <c r="K137" s="15"/>
      <c r="L137" s="20" t="s">
        <v>51</v>
      </c>
      <c r="M137" s="17">
        <f>2360</f>
        <v>2360</v>
      </c>
    </row>
    <row r="138" spans="1:13" ht="49.5">
      <c r="A138" s="12">
        <v>128</v>
      </c>
      <c r="B138" s="12" t="s">
        <v>215</v>
      </c>
      <c r="C138" s="12" t="s">
        <v>70</v>
      </c>
      <c r="D138" s="13">
        <v>800</v>
      </c>
      <c r="E138" s="13"/>
      <c r="F138" s="13"/>
      <c r="G138" s="17">
        <f>800</f>
        <v>800</v>
      </c>
      <c r="H138" s="13"/>
      <c r="I138" s="13"/>
      <c r="J138" s="14" t="s">
        <v>27</v>
      </c>
      <c r="K138" s="15"/>
      <c r="L138" s="20" t="s">
        <v>51</v>
      </c>
      <c r="M138" s="17">
        <f>800</f>
        <v>800</v>
      </c>
    </row>
    <row r="139" spans="1:13" ht="49.5">
      <c r="A139" s="12">
        <v>129</v>
      </c>
      <c r="B139" s="12" t="s">
        <v>216</v>
      </c>
      <c r="C139" s="12" t="s">
        <v>70</v>
      </c>
      <c r="D139" s="13">
        <v>1900</v>
      </c>
      <c r="E139" s="13"/>
      <c r="F139" s="13"/>
      <c r="G139" s="17">
        <f>1900</f>
        <v>1900</v>
      </c>
      <c r="H139" s="13"/>
      <c r="I139" s="13"/>
      <c r="J139" s="14" t="s">
        <v>27</v>
      </c>
      <c r="K139" s="15"/>
      <c r="L139" s="20" t="s">
        <v>51</v>
      </c>
      <c r="M139" s="17">
        <f>1900</f>
        <v>1900</v>
      </c>
    </row>
    <row r="140" spans="1:13" ht="49.5">
      <c r="A140" s="12">
        <v>130</v>
      </c>
      <c r="B140" s="12" t="s">
        <v>217</v>
      </c>
      <c r="C140" s="12" t="s">
        <v>70</v>
      </c>
      <c r="D140" s="13">
        <v>2600</v>
      </c>
      <c r="E140" s="13"/>
      <c r="F140" s="13"/>
      <c r="G140" s="17">
        <f>2600</f>
        <v>2600</v>
      </c>
      <c r="H140" s="13"/>
      <c r="I140" s="13"/>
      <c r="J140" s="14" t="s">
        <v>27</v>
      </c>
      <c r="K140" s="15"/>
      <c r="L140" s="20" t="s">
        <v>51</v>
      </c>
      <c r="M140" s="17">
        <f>2600</f>
        <v>2600</v>
      </c>
    </row>
    <row r="141" spans="1:13" ht="49.5">
      <c r="A141" s="12">
        <v>131</v>
      </c>
      <c r="B141" s="12" t="s">
        <v>218</v>
      </c>
      <c r="C141" s="12" t="s">
        <v>70</v>
      </c>
      <c r="D141" s="13">
        <v>9066</v>
      </c>
      <c r="E141" s="13"/>
      <c r="F141" s="13"/>
      <c r="G141" s="17">
        <f>9066</f>
        <v>9066</v>
      </c>
      <c r="H141" s="13"/>
      <c r="I141" s="13"/>
      <c r="J141" s="14" t="s">
        <v>27</v>
      </c>
      <c r="K141" s="15"/>
      <c r="L141" s="20" t="s">
        <v>51</v>
      </c>
      <c r="M141" s="17">
        <f>9066</f>
        <v>9066</v>
      </c>
    </row>
    <row r="142" spans="1:13" ht="49.5">
      <c r="A142" s="12">
        <v>132</v>
      </c>
      <c r="B142" s="12" t="s">
        <v>219</v>
      </c>
      <c r="C142" s="12" t="s">
        <v>70</v>
      </c>
      <c r="D142" s="13">
        <v>3525.8</v>
      </c>
      <c r="E142" s="13"/>
      <c r="F142" s="13"/>
      <c r="G142" s="17">
        <f>3525.8</f>
        <v>3525.8</v>
      </c>
      <c r="H142" s="13"/>
      <c r="I142" s="13"/>
      <c r="J142" s="14" t="s">
        <v>27</v>
      </c>
      <c r="K142" s="15"/>
      <c r="L142" s="20" t="s">
        <v>51</v>
      </c>
      <c r="M142" s="17">
        <f>3525.8</f>
        <v>3525.8</v>
      </c>
    </row>
    <row r="143" spans="1:13" ht="49.5">
      <c r="A143" s="12">
        <v>133</v>
      </c>
      <c r="B143" s="12" t="s">
        <v>220</v>
      </c>
      <c r="C143" s="12" t="s">
        <v>70</v>
      </c>
      <c r="D143" s="13">
        <v>1250</v>
      </c>
      <c r="E143" s="13"/>
      <c r="F143" s="13"/>
      <c r="G143" s="17">
        <f>1250</f>
        <v>1250</v>
      </c>
      <c r="H143" s="13"/>
      <c r="I143" s="13"/>
      <c r="J143" s="14" t="s">
        <v>27</v>
      </c>
      <c r="K143" s="15"/>
      <c r="L143" s="20" t="s">
        <v>51</v>
      </c>
      <c r="M143" s="17">
        <f>1250</f>
        <v>1250</v>
      </c>
    </row>
    <row r="144" spans="1:13" ht="49.5">
      <c r="A144" s="12">
        <v>134</v>
      </c>
      <c r="B144" s="12" t="s">
        <v>221</v>
      </c>
      <c r="C144" s="12" t="s">
        <v>195</v>
      </c>
      <c r="D144" s="13">
        <v>105</v>
      </c>
      <c r="E144" s="13"/>
      <c r="F144" s="13"/>
      <c r="G144" s="17">
        <f>105</f>
        <v>105</v>
      </c>
      <c r="H144" s="13"/>
      <c r="I144" s="13"/>
      <c r="J144" s="14" t="s">
        <v>27</v>
      </c>
      <c r="K144" s="15"/>
      <c r="L144" s="20" t="s">
        <v>51</v>
      </c>
      <c r="M144" s="17">
        <f>105</f>
        <v>105</v>
      </c>
    </row>
    <row r="145" spans="1:13" ht="49.5">
      <c r="A145" s="12">
        <v>135</v>
      </c>
      <c r="B145" s="12" t="s">
        <v>222</v>
      </c>
      <c r="C145" s="12" t="s">
        <v>77</v>
      </c>
      <c r="D145" s="13">
        <v>1162.5</v>
      </c>
      <c r="E145" s="13"/>
      <c r="F145" s="13"/>
      <c r="G145" s="17">
        <f>1162.5</f>
        <v>1162.5</v>
      </c>
      <c r="H145" s="13"/>
      <c r="I145" s="13"/>
      <c r="J145" s="14" t="s">
        <v>27</v>
      </c>
      <c r="K145" s="15"/>
      <c r="L145" s="20" t="s">
        <v>51</v>
      </c>
      <c r="M145" s="17">
        <f>1162.5</f>
        <v>1162.5</v>
      </c>
    </row>
    <row r="146" spans="1:13" ht="49.5">
      <c r="A146" s="12">
        <v>136</v>
      </c>
      <c r="B146" s="12" t="s">
        <v>146</v>
      </c>
      <c r="C146" s="12" t="s">
        <v>147</v>
      </c>
      <c r="D146" s="13">
        <v>7934</v>
      </c>
      <c r="E146" s="13"/>
      <c r="F146" s="13"/>
      <c r="G146" s="17">
        <f>7934</f>
        <v>7934</v>
      </c>
      <c r="H146" s="13"/>
      <c r="I146" s="13"/>
      <c r="J146" s="14" t="s">
        <v>27</v>
      </c>
      <c r="K146" s="15"/>
      <c r="L146" s="20" t="s">
        <v>51</v>
      </c>
      <c r="M146" s="17">
        <f>7934</f>
        <v>7934</v>
      </c>
    </row>
    <row r="147" spans="1:13" ht="49.5">
      <c r="A147" s="12">
        <v>137</v>
      </c>
      <c r="B147" s="12" t="s">
        <v>214</v>
      </c>
      <c r="C147" s="12" t="s">
        <v>50</v>
      </c>
      <c r="D147" s="13">
        <v>2360</v>
      </c>
      <c r="E147" s="13"/>
      <c r="F147" s="13"/>
      <c r="G147" s="17">
        <f>2360</f>
        <v>2360</v>
      </c>
      <c r="H147" s="13"/>
      <c r="I147" s="13"/>
      <c r="J147" s="14" t="s">
        <v>27</v>
      </c>
      <c r="K147" s="15"/>
      <c r="L147" s="20" t="s">
        <v>51</v>
      </c>
      <c r="M147" s="17">
        <f>2360</f>
        <v>2360</v>
      </c>
    </row>
    <row r="148" spans="1:13" ht="49.5">
      <c r="A148" s="12">
        <v>138</v>
      </c>
      <c r="B148" s="15" t="s">
        <v>223</v>
      </c>
      <c r="C148" s="15" t="s">
        <v>70</v>
      </c>
      <c r="D148" s="15">
        <v>1200</v>
      </c>
      <c r="E148" s="15"/>
      <c r="F148" s="15"/>
      <c r="G148" s="17">
        <f>1200</f>
        <v>1200</v>
      </c>
      <c r="H148" s="15"/>
      <c r="I148" s="15"/>
      <c r="J148" s="14" t="s">
        <v>27</v>
      </c>
      <c r="K148" s="15"/>
      <c r="L148" s="20" t="s">
        <v>51</v>
      </c>
      <c r="M148" s="17">
        <f>1200</f>
        <v>1200</v>
      </c>
    </row>
    <row r="149" spans="1:13" ht="49.5">
      <c r="A149" s="12">
        <v>139</v>
      </c>
      <c r="B149" s="12" t="s">
        <v>224</v>
      </c>
      <c r="C149" s="12" t="s">
        <v>72</v>
      </c>
      <c r="D149" s="13">
        <v>510</v>
      </c>
      <c r="E149" s="13"/>
      <c r="F149" s="13"/>
      <c r="G149" s="17">
        <f>510</f>
        <v>510</v>
      </c>
      <c r="H149" s="13"/>
      <c r="I149" s="13"/>
      <c r="J149" s="14" t="s">
        <v>27</v>
      </c>
      <c r="K149" s="15"/>
      <c r="L149" s="20" t="s">
        <v>51</v>
      </c>
      <c r="M149" s="17">
        <f>510</f>
        <v>510</v>
      </c>
    </row>
    <row r="150" spans="1:13" ht="49.5">
      <c r="A150" s="15">
        <v>140</v>
      </c>
      <c r="B150" s="15" t="s">
        <v>225</v>
      </c>
      <c r="C150" s="12" t="s">
        <v>72</v>
      </c>
      <c r="D150" s="13">
        <v>287.10000000000002</v>
      </c>
      <c r="E150" s="13"/>
      <c r="F150" s="13"/>
      <c r="G150" s="17">
        <f>287.1</f>
        <v>287.10000000000002</v>
      </c>
      <c r="H150" s="13"/>
      <c r="I150" s="13"/>
      <c r="J150" s="14" t="s">
        <v>27</v>
      </c>
      <c r="K150" s="15"/>
      <c r="L150" s="20" t="s">
        <v>51</v>
      </c>
      <c r="M150" s="17">
        <f>287.1</f>
        <v>287.10000000000002</v>
      </c>
    </row>
    <row r="151" spans="1:13" ht="49.5">
      <c r="A151" s="15">
        <v>141</v>
      </c>
      <c r="B151" s="15" t="s">
        <v>226</v>
      </c>
      <c r="C151" s="12" t="s">
        <v>72</v>
      </c>
      <c r="D151" s="33">
        <v>400</v>
      </c>
      <c r="E151" s="33"/>
      <c r="F151" s="33"/>
      <c r="G151" s="17">
        <f>349.8</f>
        <v>349.8</v>
      </c>
      <c r="H151" s="33"/>
      <c r="I151" s="33"/>
      <c r="J151" s="14" t="s">
        <v>27</v>
      </c>
      <c r="K151" s="15"/>
      <c r="L151" s="20" t="s">
        <v>51</v>
      </c>
      <c r="M151" s="17">
        <f>349.8</f>
        <v>349.8</v>
      </c>
    </row>
    <row r="152" spans="1:13" ht="49.5">
      <c r="A152" s="15">
        <v>142</v>
      </c>
      <c r="B152" s="15" t="s">
        <v>227</v>
      </c>
      <c r="C152" s="12" t="s">
        <v>72</v>
      </c>
      <c r="D152" s="33">
        <v>400</v>
      </c>
      <c r="E152" s="33"/>
      <c r="F152" s="33"/>
      <c r="G152" s="17">
        <f>400</f>
        <v>400</v>
      </c>
      <c r="H152" s="33"/>
      <c r="I152" s="33"/>
      <c r="J152" s="14" t="s">
        <v>27</v>
      </c>
      <c r="K152" s="15"/>
      <c r="L152" s="20" t="s">
        <v>51</v>
      </c>
      <c r="M152" s="17">
        <f>400</f>
        <v>400</v>
      </c>
    </row>
    <row r="153" spans="1:13" ht="49.5">
      <c r="A153" s="15">
        <v>143</v>
      </c>
      <c r="B153" s="12" t="s">
        <v>224</v>
      </c>
      <c r="C153" s="12" t="s">
        <v>70</v>
      </c>
      <c r="D153" s="13">
        <v>595</v>
      </c>
      <c r="E153" s="13"/>
      <c r="F153" s="13"/>
      <c r="G153" s="17">
        <f>595</f>
        <v>595</v>
      </c>
      <c r="H153" s="13"/>
      <c r="I153" s="13"/>
      <c r="J153" s="14" t="s">
        <v>27</v>
      </c>
      <c r="K153" s="15"/>
      <c r="L153" s="20" t="s">
        <v>51</v>
      </c>
      <c r="M153" s="17">
        <f>595</f>
        <v>595</v>
      </c>
    </row>
    <row r="154" spans="1:13" ht="49.5">
      <c r="A154" s="15">
        <v>144</v>
      </c>
      <c r="B154" s="15" t="s">
        <v>223</v>
      </c>
      <c r="C154" s="15" t="s">
        <v>72</v>
      </c>
      <c r="D154" s="33">
        <v>400</v>
      </c>
      <c r="E154" s="33"/>
      <c r="F154" s="33"/>
      <c r="G154" s="17">
        <f>390.5</f>
        <v>390.5</v>
      </c>
      <c r="H154" s="33"/>
      <c r="I154" s="33"/>
      <c r="J154" s="14" t="s">
        <v>27</v>
      </c>
      <c r="K154" s="15"/>
      <c r="L154" s="20" t="s">
        <v>51</v>
      </c>
      <c r="M154" s="17">
        <f>390.5</f>
        <v>390.5</v>
      </c>
    </row>
    <row r="155" spans="1:13" ht="49.5">
      <c r="A155" s="15">
        <v>145</v>
      </c>
      <c r="B155" s="15" t="s">
        <v>189</v>
      </c>
      <c r="C155" s="15" t="s">
        <v>72</v>
      </c>
      <c r="D155" s="33">
        <v>350.79</v>
      </c>
      <c r="E155" s="33"/>
      <c r="F155" s="33"/>
      <c r="G155" s="17">
        <f>350.79</f>
        <v>350.79</v>
      </c>
      <c r="H155" s="33"/>
      <c r="I155" s="33"/>
      <c r="J155" s="14" t="s">
        <v>27</v>
      </c>
      <c r="K155" s="15"/>
      <c r="L155" s="20" t="s">
        <v>51</v>
      </c>
      <c r="M155" s="17">
        <f>350.79</f>
        <v>350.79</v>
      </c>
    </row>
    <row r="156" spans="1:13" ht="49.5">
      <c r="A156" s="15">
        <v>146</v>
      </c>
      <c r="B156" s="15" t="s">
        <v>228</v>
      </c>
      <c r="C156" s="15" t="s">
        <v>195</v>
      </c>
      <c r="D156" s="33">
        <v>70</v>
      </c>
      <c r="E156" s="33"/>
      <c r="F156" s="33"/>
      <c r="G156" s="17">
        <f>70</f>
        <v>70</v>
      </c>
      <c r="H156" s="33"/>
      <c r="I156" s="33"/>
      <c r="J156" s="14" t="s">
        <v>27</v>
      </c>
      <c r="K156" s="15"/>
      <c r="L156" s="20" t="s">
        <v>51</v>
      </c>
      <c r="M156" s="17">
        <f>70</f>
        <v>70</v>
      </c>
    </row>
    <row r="157" spans="1:13" ht="49.5">
      <c r="A157" s="15">
        <v>147</v>
      </c>
      <c r="B157" s="15" t="s">
        <v>229</v>
      </c>
      <c r="C157" s="15" t="s">
        <v>195</v>
      </c>
      <c r="D157" s="33">
        <v>100</v>
      </c>
      <c r="E157" s="33"/>
      <c r="F157" s="33"/>
      <c r="G157" s="17">
        <f>100</f>
        <v>100</v>
      </c>
      <c r="H157" s="33"/>
      <c r="I157" s="33"/>
      <c r="J157" s="14" t="s">
        <v>27</v>
      </c>
      <c r="K157" s="15"/>
      <c r="L157" s="20" t="s">
        <v>51</v>
      </c>
      <c r="M157" s="17">
        <f>100</f>
        <v>100</v>
      </c>
    </row>
    <row r="158" spans="1:13" ht="49.5">
      <c r="A158" s="15">
        <v>148</v>
      </c>
      <c r="B158" s="15" t="s">
        <v>230</v>
      </c>
      <c r="C158" s="15" t="s">
        <v>72</v>
      </c>
      <c r="D158" s="33">
        <v>400</v>
      </c>
      <c r="E158" s="33"/>
      <c r="F158" s="33"/>
      <c r="G158" s="17">
        <f>400</f>
        <v>400</v>
      </c>
      <c r="H158" s="33"/>
      <c r="I158" s="33"/>
      <c r="J158" s="14" t="s">
        <v>27</v>
      </c>
      <c r="K158" s="15"/>
      <c r="L158" s="20" t="s">
        <v>51</v>
      </c>
      <c r="M158" s="17">
        <f>400</f>
        <v>400</v>
      </c>
    </row>
    <row r="159" spans="1:13" ht="49.5">
      <c r="A159" s="15">
        <v>149</v>
      </c>
      <c r="B159" s="15" t="s">
        <v>69</v>
      </c>
      <c r="C159" s="15" t="s">
        <v>70</v>
      </c>
      <c r="D159" s="33">
        <v>5893.4</v>
      </c>
      <c r="E159" s="33"/>
      <c r="F159" s="33"/>
      <c r="G159" s="17">
        <f>5893.4</f>
        <v>5893.4</v>
      </c>
      <c r="H159" s="33"/>
      <c r="I159" s="33"/>
      <c r="J159" s="14" t="s">
        <v>27</v>
      </c>
      <c r="K159" s="15"/>
      <c r="L159" s="20" t="s">
        <v>51</v>
      </c>
      <c r="M159" s="17">
        <f>5893.4</f>
        <v>5893.4</v>
      </c>
    </row>
    <row r="160" spans="1:13" ht="49.5">
      <c r="A160" s="15">
        <v>150</v>
      </c>
      <c r="B160" s="15" t="s">
        <v>61</v>
      </c>
      <c r="C160" s="15" t="s">
        <v>231</v>
      </c>
      <c r="D160" s="33">
        <v>500</v>
      </c>
      <c r="E160" s="33"/>
      <c r="F160" s="33"/>
      <c r="G160" s="17">
        <f>500</f>
        <v>500</v>
      </c>
      <c r="H160" s="33"/>
      <c r="I160" s="33"/>
      <c r="J160" s="14" t="s">
        <v>27</v>
      </c>
      <c r="K160" s="15"/>
      <c r="L160" s="20" t="s">
        <v>51</v>
      </c>
      <c r="M160" s="17">
        <f>500</f>
        <v>500</v>
      </c>
    </row>
    <row r="161" spans="1:13" ht="49.5">
      <c r="A161" s="15">
        <v>151</v>
      </c>
      <c r="B161" s="15" t="s">
        <v>223</v>
      </c>
      <c r="C161" s="15" t="s">
        <v>70</v>
      </c>
      <c r="D161" s="33">
        <v>300</v>
      </c>
      <c r="E161" s="33"/>
      <c r="F161" s="33"/>
      <c r="G161" s="17">
        <f>300</f>
        <v>300</v>
      </c>
      <c r="H161" s="33"/>
      <c r="I161" s="33"/>
      <c r="J161" s="14" t="s">
        <v>27</v>
      </c>
      <c r="K161" s="15"/>
      <c r="L161" s="20" t="s">
        <v>51</v>
      </c>
      <c r="M161" s="17">
        <f>300</f>
        <v>300</v>
      </c>
    </row>
    <row r="162" spans="1:13" ht="49.5">
      <c r="A162" s="15">
        <v>152</v>
      </c>
      <c r="B162" s="15" t="s">
        <v>232</v>
      </c>
      <c r="C162" s="15" t="s">
        <v>77</v>
      </c>
      <c r="D162" s="33">
        <v>624</v>
      </c>
      <c r="E162" s="33"/>
      <c r="F162" s="33"/>
      <c r="G162" s="17">
        <f>624</f>
        <v>624</v>
      </c>
      <c r="H162" s="33"/>
      <c r="I162" s="33"/>
      <c r="J162" s="14" t="s">
        <v>27</v>
      </c>
      <c r="K162" s="15"/>
      <c r="L162" s="20" t="s">
        <v>51</v>
      </c>
      <c r="M162" s="17">
        <f>624</f>
        <v>624</v>
      </c>
    </row>
    <row r="163" spans="1:13" ht="49.5">
      <c r="A163" s="15">
        <v>153</v>
      </c>
      <c r="B163" s="15" t="s">
        <v>233</v>
      </c>
      <c r="C163" s="15" t="s">
        <v>72</v>
      </c>
      <c r="D163" s="33">
        <v>165.6</v>
      </c>
      <c r="E163" s="33"/>
      <c r="F163" s="33"/>
      <c r="G163" s="17">
        <f>194.92</f>
        <v>194.92</v>
      </c>
      <c r="H163" s="33"/>
      <c r="I163" s="33"/>
      <c r="J163" s="14" t="s">
        <v>27</v>
      </c>
      <c r="K163" s="15"/>
      <c r="L163" s="20" t="s">
        <v>51</v>
      </c>
      <c r="M163" s="17">
        <f>194.92</f>
        <v>194.92</v>
      </c>
    </row>
    <row r="164" spans="1:13" ht="49.5">
      <c r="A164" s="15">
        <v>154</v>
      </c>
      <c r="B164" s="15" t="s">
        <v>69</v>
      </c>
      <c r="C164" s="15" t="s">
        <v>70</v>
      </c>
      <c r="D164" s="33">
        <v>3050</v>
      </c>
      <c r="E164" s="33"/>
      <c r="F164" s="33"/>
      <c r="G164" s="17">
        <f>3050</f>
        <v>3050</v>
      </c>
      <c r="H164" s="33"/>
      <c r="I164" s="33"/>
      <c r="J164" s="14" t="s">
        <v>27</v>
      </c>
      <c r="K164" s="15"/>
      <c r="L164" s="20" t="s">
        <v>51</v>
      </c>
      <c r="M164" s="17">
        <f>3050</f>
        <v>3050</v>
      </c>
    </row>
    <row r="165" spans="1:13" ht="49.5">
      <c r="A165" s="15">
        <v>155</v>
      </c>
      <c r="B165" s="15" t="s">
        <v>83</v>
      </c>
      <c r="C165" s="15" t="s">
        <v>50</v>
      </c>
      <c r="D165" s="33">
        <v>2596</v>
      </c>
      <c r="E165" s="33"/>
      <c r="F165" s="33"/>
      <c r="G165" s="17">
        <f>2596</f>
        <v>2596</v>
      </c>
      <c r="H165" s="33"/>
      <c r="I165" s="33"/>
      <c r="J165" s="14" t="s">
        <v>27</v>
      </c>
      <c r="K165" s="15"/>
      <c r="L165" s="20" t="s">
        <v>51</v>
      </c>
      <c r="M165" s="17">
        <f>2596</f>
        <v>2596</v>
      </c>
    </row>
    <row r="166" spans="1:13" ht="49.5">
      <c r="A166" s="15">
        <v>156</v>
      </c>
      <c r="B166" s="15" t="s">
        <v>234</v>
      </c>
      <c r="C166" s="15" t="s">
        <v>72</v>
      </c>
      <c r="D166" s="33">
        <v>840</v>
      </c>
      <c r="E166" s="33"/>
      <c r="F166" s="33"/>
      <c r="G166" s="17">
        <f>840</f>
        <v>840</v>
      </c>
      <c r="H166" s="33"/>
      <c r="I166" s="33"/>
      <c r="J166" s="14" t="s">
        <v>27</v>
      </c>
      <c r="K166" s="15"/>
      <c r="L166" s="20" t="s">
        <v>51</v>
      </c>
      <c r="M166" s="17">
        <f>840</f>
        <v>840</v>
      </c>
    </row>
    <row r="167" spans="1:13" ht="49.5">
      <c r="A167" s="15">
        <v>157</v>
      </c>
      <c r="B167" s="15" t="s">
        <v>234</v>
      </c>
      <c r="C167" s="15" t="s">
        <v>70</v>
      </c>
      <c r="D167" s="33">
        <v>820</v>
      </c>
      <c r="E167" s="33"/>
      <c r="F167" s="33"/>
      <c r="G167" s="17">
        <f>820</f>
        <v>820</v>
      </c>
      <c r="H167" s="33"/>
      <c r="I167" s="33"/>
      <c r="J167" s="14" t="s">
        <v>27</v>
      </c>
      <c r="K167" s="15"/>
      <c r="L167" s="20" t="s">
        <v>51</v>
      </c>
      <c r="M167" s="17">
        <f>820</f>
        <v>820</v>
      </c>
    </row>
    <row r="168" spans="1:13" ht="49.5">
      <c r="A168" s="15">
        <v>158</v>
      </c>
      <c r="B168" s="15" t="s">
        <v>189</v>
      </c>
      <c r="C168" s="15" t="s">
        <v>72</v>
      </c>
      <c r="D168" s="33">
        <v>180</v>
      </c>
      <c r="E168" s="33"/>
      <c r="F168" s="33"/>
      <c r="G168" s="17">
        <f>180</f>
        <v>180</v>
      </c>
      <c r="H168" s="33"/>
      <c r="I168" s="33"/>
      <c r="J168" s="14" t="s">
        <v>27</v>
      </c>
      <c r="K168" s="15"/>
      <c r="L168" s="20" t="s">
        <v>51</v>
      </c>
      <c r="M168" s="17">
        <f>180</f>
        <v>180</v>
      </c>
    </row>
    <row r="169" spans="1:13" ht="49.5">
      <c r="A169" s="47">
        <v>159</v>
      </c>
      <c r="B169" s="15" t="s">
        <v>235</v>
      </c>
      <c r="C169" s="15" t="s">
        <v>72</v>
      </c>
      <c r="D169" s="33">
        <v>240</v>
      </c>
      <c r="E169" s="33"/>
      <c r="F169" s="33"/>
      <c r="G169" s="17" t="s">
        <v>406</v>
      </c>
      <c r="H169" s="33"/>
      <c r="I169" s="33"/>
      <c r="J169" s="14" t="s">
        <v>27</v>
      </c>
      <c r="K169" s="15"/>
      <c r="L169" s="20" t="s">
        <v>51</v>
      </c>
      <c r="M169" s="17" t="s">
        <v>406</v>
      </c>
    </row>
    <row r="170" spans="1:13" ht="49.5">
      <c r="A170" s="15">
        <v>160</v>
      </c>
      <c r="B170" s="15" t="s">
        <v>236</v>
      </c>
      <c r="C170" s="15" t="s">
        <v>237</v>
      </c>
      <c r="D170" s="33">
        <v>1752</v>
      </c>
      <c r="E170" s="33"/>
      <c r="F170" s="33"/>
      <c r="G170" s="17">
        <f>1542.84</f>
        <v>1542.84</v>
      </c>
      <c r="H170" s="33"/>
      <c r="I170" s="33"/>
      <c r="J170" s="14" t="s">
        <v>27</v>
      </c>
      <c r="K170" s="15"/>
      <c r="L170" s="20" t="s">
        <v>31</v>
      </c>
      <c r="M170" s="17">
        <f>1542.84</f>
        <v>1542.84</v>
      </c>
    </row>
    <row r="171" spans="1:13" ht="25.5">
      <c r="A171" s="15">
        <v>161</v>
      </c>
      <c r="B171" s="34" t="s">
        <v>238</v>
      </c>
      <c r="C171" s="15" t="s">
        <v>96</v>
      </c>
      <c r="D171" s="33">
        <v>21097.22</v>
      </c>
      <c r="E171" s="33"/>
      <c r="F171" s="33"/>
      <c r="G171" s="17">
        <f>21097.22</f>
        <v>21097.22</v>
      </c>
      <c r="H171" s="33"/>
      <c r="I171" s="33"/>
      <c r="J171" s="15" t="s">
        <v>97</v>
      </c>
      <c r="K171" s="22" t="s">
        <v>239</v>
      </c>
      <c r="L171" s="16"/>
      <c r="M171" s="17">
        <f>21097.22</f>
        <v>21097.22</v>
      </c>
    </row>
    <row r="172" spans="1:13" ht="49.5">
      <c r="A172" s="15">
        <v>162</v>
      </c>
      <c r="B172" s="15" t="s">
        <v>240</v>
      </c>
      <c r="C172" s="15" t="s">
        <v>50</v>
      </c>
      <c r="D172" s="33">
        <v>2560</v>
      </c>
      <c r="E172" s="33"/>
      <c r="F172" s="33"/>
      <c r="G172" s="17">
        <f>2560</f>
        <v>2560</v>
      </c>
      <c r="H172" s="33"/>
      <c r="I172" s="33"/>
      <c r="J172" s="14" t="s">
        <v>27</v>
      </c>
      <c r="K172" s="15"/>
      <c r="L172" s="20" t="s">
        <v>51</v>
      </c>
      <c r="M172" s="17">
        <f>2560</f>
        <v>2560</v>
      </c>
    </row>
    <row r="173" spans="1:13" ht="49.5">
      <c r="A173" s="15">
        <v>163</v>
      </c>
      <c r="B173" s="15" t="s">
        <v>241</v>
      </c>
      <c r="C173" s="15" t="s">
        <v>70</v>
      </c>
      <c r="D173" s="33">
        <v>1469.74</v>
      </c>
      <c r="E173" s="33"/>
      <c r="F173" s="33"/>
      <c r="G173" s="17">
        <f>1469.74</f>
        <v>1469.74</v>
      </c>
      <c r="H173" s="33"/>
      <c r="I173" s="33"/>
      <c r="J173" s="14" t="s">
        <v>27</v>
      </c>
      <c r="K173" s="15"/>
      <c r="L173" s="20" t="s">
        <v>51</v>
      </c>
      <c r="M173" s="17">
        <f>1469.74</f>
        <v>1469.74</v>
      </c>
    </row>
    <row r="174" spans="1:13" ht="49.5">
      <c r="A174" s="15">
        <v>164</v>
      </c>
      <c r="B174" s="15" t="s">
        <v>215</v>
      </c>
      <c r="C174" s="15" t="s">
        <v>70</v>
      </c>
      <c r="D174" s="33">
        <v>200</v>
      </c>
      <c r="E174" s="33"/>
      <c r="F174" s="33"/>
      <c r="G174" s="17">
        <v>200</v>
      </c>
      <c r="H174" s="33"/>
      <c r="I174" s="33"/>
      <c r="J174" s="14" t="s">
        <v>27</v>
      </c>
      <c r="K174" s="15"/>
      <c r="L174" s="20" t="s">
        <v>51</v>
      </c>
      <c r="M174" s="17">
        <v>200</v>
      </c>
    </row>
    <row r="175" spans="1:13" ht="49.5">
      <c r="A175" s="15">
        <v>165</v>
      </c>
      <c r="B175" s="15" t="s">
        <v>217</v>
      </c>
      <c r="C175" s="15" t="s">
        <v>70</v>
      </c>
      <c r="D175" s="33">
        <v>260</v>
      </c>
      <c r="E175" s="33"/>
      <c r="F175" s="33"/>
      <c r="G175" s="17">
        <f>260</f>
        <v>260</v>
      </c>
      <c r="H175" s="33"/>
      <c r="I175" s="33"/>
      <c r="J175" s="14" t="s">
        <v>27</v>
      </c>
      <c r="K175" s="15"/>
      <c r="L175" s="20" t="s">
        <v>51</v>
      </c>
      <c r="M175" s="17">
        <f>260</f>
        <v>260</v>
      </c>
    </row>
    <row r="176" spans="1:13" ht="49.5">
      <c r="A176" s="15">
        <v>166</v>
      </c>
      <c r="B176" s="15" t="s">
        <v>215</v>
      </c>
      <c r="C176" s="15" t="s">
        <v>72</v>
      </c>
      <c r="D176" s="33">
        <v>50</v>
      </c>
      <c r="E176" s="33"/>
      <c r="F176" s="33"/>
      <c r="G176" s="17">
        <f>50</f>
        <v>50</v>
      </c>
      <c r="H176" s="33"/>
      <c r="I176" s="33"/>
      <c r="J176" s="14" t="s">
        <v>27</v>
      </c>
      <c r="K176" s="15"/>
      <c r="L176" s="20" t="s">
        <v>51</v>
      </c>
      <c r="M176" s="17">
        <f>50</f>
        <v>50</v>
      </c>
    </row>
    <row r="177" spans="1:13" ht="49.5">
      <c r="A177" s="15">
        <v>167</v>
      </c>
      <c r="B177" s="15" t="s">
        <v>190</v>
      </c>
      <c r="C177" s="15" t="s">
        <v>72</v>
      </c>
      <c r="D177" s="33">
        <v>50</v>
      </c>
      <c r="E177" s="33"/>
      <c r="F177" s="33"/>
      <c r="G177" s="17">
        <f>50</f>
        <v>50</v>
      </c>
      <c r="H177" s="33"/>
      <c r="I177" s="33"/>
      <c r="J177" s="14" t="s">
        <v>27</v>
      </c>
      <c r="K177" s="15"/>
      <c r="L177" s="20" t="s">
        <v>51</v>
      </c>
      <c r="M177" s="17">
        <f>50</f>
        <v>50</v>
      </c>
    </row>
    <row r="178" spans="1:13" ht="49.5">
      <c r="A178" s="15">
        <v>168</v>
      </c>
      <c r="B178" s="15" t="s">
        <v>225</v>
      </c>
      <c r="C178" s="15" t="s">
        <v>72</v>
      </c>
      <c r="D178" s="33">
        <v>60</v>
      </c>
      <c r="E178" s="33"/>
      <c r="F178" s="33"/>
      <c r="G178" s="17">
        <f>60</f>
        <v>60</v>
      </c>
      <c r="H178" s="33"/>
      <c r="I178" s="33"/>
      <c r="J178" s="14" t="s">
        <v>27</v>
      </c>
      <c r="K178" s="15"/>
      <c r="L178" s="20" t="s">
        <v>51</v>
      </c>
      <c r="M178" s="17">
        <f>60</f>
        <v>60</v>
      </c>
    </row>
    <row r="179" spans="1:13" ht="49.5">
      <c r="A179" s="15">
        <v>169</v>
      </c>
      <c r="B179" s="15" t="s">
        <v>217</v>
      </c>
      <c r="C179" s="15" t="s">
        <v>72</v>
      </c>
      <c r="D179" s="33">
        <v>60</v>
      </c>
      <c r="E179" s="33"/>
      <c r="F179" s="33"/>
      <c r="G179" s="17">
        <f>60</f>
        <v>60</v>
      </c>
      <c r="H179" s="33"/>
      <c r="I179" s="33"/>
      <c r="J179" s="14" t="s">
        <v>27</v>
      </c>
      <c r="K179" s="15"/>
      <c r="L179" s="20" t="s">
        <v>51</v>
      </c>
      <c r="M179" s="17">
        <f>60</f>
        <v>60</v>
      </c>
    </row>
    <row r="180" spans="1:13" ht="49.5">
      <c r="A180" s="15">
        <v>170</v>
      </c>
      <c r="B180" s="15" t="s">
        <v>76</v>
      </c>
      <c r="C180" s="15" t="s">
        <v>77</v>
      </c>
      <c r="D180" s="33">
        <v>1640</v>
      </c>
      <c r="E180" s="33"/>
      <c r="F180" s="33"/>
      <c r="G180" s="17">
        <f>1640</f>
        <v>1640</v>
      </c>
      <c r="H180" s="33"/>
      <c r="I180" s="33"/>
      <c r="J180" s="14" t="s">
        <v>27</v>
      </c>
      <c r="K180" s="15"/>
      <c r="L180" s="20" t="s">
        <v>51</v>
      </c>
      <c r="M180" s="17">
        <f>1640</f>
        <v>1640</v>
      </c>
    </row>
    <row r="181" spans="1:13" ht="49.5">
      <c r="A181" s="15">
        <v>171</v>
      </c>
      <c r="B181" s="15" t="s">
        <v>194</v>
      </c>
      <c r="C181" s="15" t="s">
        <v>195</v>
      </c>
      <c r="D181" s="33">
        <v>1000</v>
      </c>
      <c r="E181" s="33"/>
      <c r="F181" s="33"/>
      <c r="G181" s="17">
        <f>10</f>
        <v>10</v>
      </c>
      <c r="H181" s="33"/>
      <c r="I181" s="33"/>
      <c r="J181" s="14" t="s">
        <v>27</v>
      </c>
      <c r="K181" s="15"/>
      <c r="L181" s="20" t="s">
        <v>51</v>
      </c>
      <c r="M181" s="17">
        <f>10</f>
        <v>10</v>
      </c>
    </row>
    <row r="182" spans="1:13" ht="49.5">
      <c r="A182" s="15">
        <v>172</v>
      </c>
      <c r="B182" s="15" t="s">
        <v>229</v>
      </c>
      <c r="C182" s="15" t="s">
        <v>195</v>
      </c>
      <c r="D182" s="33">
        <v>1000</v>
      </c>
      <c r="E182" s="33"/>
      <c r="F182" s="33"/>
      <c r="G182" s="17">
        <f>20</f>
        <v>20</v>
      </c>
      <c r="H182" s="33"/>
      <c r="I182" s="33"/>
      <c r="J182" s="14" t="s">
        <v>27</v>
      </c>
      <c r="K182" s="15"/>
      <c r="L182" s="20" t="s">
        <v>51</v>
      </c>
      <c r="M182" s="17">
        <f>20</f>
        <v>20</v>
      </c>
    </row>
    <row r="183" spans="1:13" ht="49.5">
      <c r="A183" s="15">
        <v>173</v>
      </c>
      <c r="B183" s="15" t="s">
        <v>242</v>
      </c>
      <c r="C183" s="15" t="s">
        <v>72</v>
      </c>
      <c r="D183" s="33">
        <v>60</v>
      </c>
      <c r="E183" s="33"/>
      <c r="F183" s="33"/>
      <c r="G183" s="17">
        <f>56.49</f>
        <v>56.49</v>
      </c>
      <c r="H183" s="33"/>
      <c r="I183" s="33"/>
      <c r="J183" s="14" t="s">
        <v>27</v>
      </c>
      <c r="K183" s="15"/>
      <c r="L183" s="20" t="s">
        <v>51</v>
      </c>
      <c r="M183" s="17">
        <f>56.49</f>
        <v>56.49</v>
      </c>
    </row>
    <row r="184" spans="1:13" ht="49.5">
      <c r="A184" s="15">
        <v>174</v>
      </c>
      <c r="B184" s="15" t="s">
        <v>243</v>
      </c>
      <c r="C184" s="15" t="s">
        <v>72</v>
      </c>
      <c r="D184" s="33">
        <v>80</v>
      </c>
      <c r="E184" s="33"/>
      <c r="F184" s="33"/>
      <c r="G184" s="17">
        <f>80</f>
        <v>80</v>
      </c>
      <c r="H184" s="33"/>
      <c r="I184" s="33"/>
      <c r="J184" s="14" t="s">
        <v>27</v>
      </c>
      <c r="K184" s="15"/>
      <c r="L184" s="20" t="s">
        <v>51</v>
      </c>
      <c r="M184" s="17">
        <f>80</f>
        <v>80</v>
      </c>
    </row>
    <row r="185" spans="1:13" ht="49.5">
      <c r="A185" s="15">
        <v>175</v>
      </c>
      <c r="B185" s="15" t="s">
        <v>244</v>
      </c>
      <c r="C185" s="15" t="s">
        <v>72</v>
      </c>
      <c r="D185" s="33">
        <v>60</v>
      </c>
      <c r="E185" s="33"/>
      <c r="F185" s="33"/>
      <c r="G185" s="17">
        <f>59.4</f>
        <v>59.4</v>
      </c>
      <c r="H185" s="33"/>
      <c r="I185" s="33"/>
      <c r="J185" s="14" t="s">
        <v>27</v>
      </c>
      <c r="K185" s="15"/>
      <c r="L185" s="20" t="s">
        <v>51</v>
      </c>
      <c r="M185" s="17">
        <f>59.4</f>
        <v>59.4</v>
      </c>
    </row>
    <row r="186" spans="1:13" ht="51">
      <c r="A186" s="15">
        <v>176</v>
      </c>
      <c r="B186" s="15" t="s">
        <v>219</v>
      </c>
      <c r="C186" s="15" t="s">
        <v>70</v>
      </c>
      <c r="D186" s="33">
        <v>468.04</v>
      </c>
      <c r="E186" s="33"/>
      <c r="F186" s="33"/>
      <c r="G186" s="17">
        <v>468.04</v>
      </c>
      <c r="H186" s="33"/>
      <c r="I186" s="33"/>
      <c r="J186" s="14" t="s">
        <v>27</v>
      </c>
      <c r="K186" s="15"/>
      <c r="L186" s="20" t="s">
        <v>51</v>
      </c>
      <c r="M186" s="17">
        <v>468.04</v>
      </c>
    </row>
    <row r="187" spans="1:13" ht="45">
      <c r="A187" s="15">
        <v>177</v>
      </c>
      <c r="B187" s="15" t="s">
        <v>245</v>
      </c>
      <c r="C187" s="15" t="s">
        <v>246</v>
      </c>
      <c r="D187" s="33">
        <v>1311.3</v>
      </c>
      <c r="E187" s="33"/>
      <c r="F187" s="33"/>
      <c r="G187" s="17">
        <f>1311.3</f>
        <v>1311.3</v>
      </c>
      <c r="H187" s="33"/>
      <c r="I187" s="33"/>
      <c r="J187" s="14" t="s">
        <v>27</v>
      </c>
      <c r="K187" s="15"/>
      <c r="L187" s="35" t="s">
        <v>247</v>
      </c>
      <c r="M187" s="17">
        <f>1311.3</f>
        <v>1311.3</v>
      </c>
    </row>
    <row r="188" spans="1:13" ht="45">
      <c r="A188" s="15">
        <v>178</v>
      </c>
      <c r="B188" s="15" t="s">
        <v>245</v>
      </c>
      <c r="C188" s="15" t="s">
        <v>248</v>
      </c>
      <c r="D188" s="33">
        <v>1500</v>
      </c>
      <c r="E188" s="33"/>
      <c r="F188" s="33"/>
      <c r="G188" s="17">
        <f>213.16</f>
        <v>213.16</v>
      </c>
      <c r="H188" s="33"/>
      <c r="I188" s="33"/>
      <c r="J188" s="14" t="s">
        <v>27</v>
      </c>
      <c r="K188" s="15"/>
      <c r="L188" s="35" t="s">
        <v>247</v>
      </c>
      <c r="M188" s="17">
        <f>213.16</f>
        <v>213.16</v>
      </c>
    </row>
    <row r="189" spans="1:13" ht="97.5">
      <c r="A189" s="15">
        <v>179</v>
      </c>
      <c r="B189" s="15" t="s">
        <v>218</v>
      </c>
      <c r="C189" s="15" t="s">
        <v>249</v>
      </c>
      <c r="D189" s="33">
        <v>581.74</v>
      </c>
      <c r="E189" s="33"/>
      <c r="F189" s="33"/>
      <c r="G189" s="17">
        <f>581.74</f>
        <v>581.74</v>
      </c>
      <c r="H189" s="33"/>
      <c r="I189" s="33"/>
      <c r="J189" s="14" t="s">
        <v>27</v>
      </c>
      <c r="K189" s="15"/>
      <c r="L189" s="21" t="s">
        <v>250</v>
      </c>
      <c r="M189" s="17">
        <f>581.74</f>
        <v>581.74</v>
      </c>
    </row>
    <row r="190" spans="1:13" ht="49.5">
      <c r="A190" s="15">
        <v>180</v>
      </c>
      <c r="B190" s="15" t="s">
        <v>218</v>
      </c>
      <c r="C190" s="15" t="s">
        <v>72</v>
      </c>
      <c r="D190" s="33">
        <v>3834.41</v>
      </c>
      <c r="E190" s="33"/>
      <c r="F190" s="33"/>
      <c r="G190" s="17">
        <f>3834.41</f>
        <v>3834.41</v>
      </c>
      <c r="H190" s="33"/>
      <c r="I190" s="33"/>
      <c r="J190" s="14" t="s">
        <v>27</v>
      </c>
      <c r="K190" s="15"/>
      <c r="L190" s="20" t="s">
        <v>51</v>
      </c>
      <c r="M190" s="17">
        <f>3834.41</f>
        <v>3834.41</v>
      </c>
    </row>
    <row r="191" spans="1:13" ht="25.5">
      <c r="A191" s="15">
        <v>181</v>
      </c>
      <c r="B191" s="15" t="s">
        <v>251</v>
      </c>
      <c r="C191" s="15" t="s">
        <v>252</v>
      </c>
      <c r="D191" s="33">
        <v>13500</v>
      </c>
      <c r="E191" s="33"/>
      <c r="F191" s="33"/>
      <c r="G191" s="17">
        <f>5175</f>
        <v>5175</v>
      </c>
      <c r="H191" s="33"/>
      <c r="I191" s="33"/>
      <c r="J191" s="15" t="s">
        <v>10</v>
      </c>
      <c r="K191" s="15" t="s">
        <v>253</v>
      </c>
      <c r="L191" s="16"/>
      <c r="M191" s="17">
        <f>5175</f>
        <v>5175</v>
      </c>
    </row>
    <row r="192" spans="1:13" ht="25.5">
      <c r="A192" s="15">
        <v>182</v>
      </c>
      <c r="B192" s="15" t="s">
        <v>254</v>
      </c>
      <c r="C192" s="15" t="s">
        <v>255</v>
      </c>
      <c r="D192" s="33">
        <v>11899</v>
      </c>
      <c r="E192" s="33"/>
      <c r="F192" s="33"/>
      <c r="G192" s="17">
        <f>11899</f>
        <v>11899</v>
      </c>
      <c r="H192" s="33"/>
      <c r="I192" s="33"/>
      <c r="J192" s="15" t="s">
        <v>10</v>
      </c>
      <c r="K192" s="15" t="s">
        <v>256</v>
      </c>
      <c r="L192" s="16"/>
      <c r="M192" s="17">
        <f>11899</f>
        <v>11899</v>
      </c>
    </row>
    <row r="193" spans="1:13" ht="98.25">
      <c r="A193" s="15">
        <v>183</v>
      </c>
      <c r="B193" s="15" t="s">
        <v>257</v>
      </c>
      <c r="C193" s="15" t="s">
        <v>50</v>
      </c>
      <c r="D193" s="33">
        <v>838</v>
      </c>
      <c r="E193" s="33"/>
      <c r="F193" s="33"/>
      <c r="G193" s="17">
        <f>838</f>
        <v>838</v>
      </c>
      <c r="H193" s="33"/>
      <c r="I193" s="33"/>
      <c r="J193" s="15" t="s">
        <v>27</v>
      </c>
      <c r="K193" s="15"/>
      <c r="L193" s="21" t="s">
        <v>258</v>
      </c>
      <c r="M193" s="17">
        <f>838</f>
        <v>838</v>
      </c>
    </row>
    <row r="194" spans="1:13" ht="98.25">
      <c r="A194" s="15">
        <v>184</v>
      </c>
      <c r="B194" s="15" t="s">
        <v>259</v>
      </c>
      <c r="C194" s="15" t="s">
        <v>260</v>
      </c>
      <c r="D194" s="33">
        <v>800</v>
      </c>
      <c r="E194" s="33"/>
      <c r="F194" s="33"/>
      <c r="G194" s="17">
        <f>800</f>
        <v>800</v>
      </c>
      <c r="H194" s="33"/>
      <c r="I194" s="33"/>
      <c r="J194" s="15" t="s">
        <v>27</v>
      </c>
      <c r="K194" s="15"/>
      <c r="L194" s="21" t="s">
        <v>258</v>
      </c>
      <c r="M194" s="17">
        <f>800</f>
        <v>800</v>
      </c>
    </row>
    <row r="195" spans="1:13" ht="98.25">
      <c r="A195" s="15">
        <v>185</v>
      </c>
      <c r="B195" s="15" t="s">
        <v>261</v>
      </c>
      <c r="C195" s="15" t="s">
        <v>262</v>
      </c>
      <c r="D195" s="33">
        <v>1100</v>
      </c>
      <c r="E195" s="33"/>
      <c r="F195" s="33"/>
      <c r="G195" s="17">
        <f>1100</f>
        <v>1100</v>
      </c>
      <c r="H195" s="33"/>
      <c r="I195" s="33"/>
      <c r="J195" s="15" t="s">
        <v>27</v>
      </c>
      <c r="K195" s="15"/>
      <c r="L195" s="21" t="s">
        <v>258</v>
      </c>
      <c r="M195" s="17">
        <f>1100</f>
        <v>1100</v>
      </c>
    </row>
    <row r="196" spans="1:13" ht="98.25">
      <c r="A196" s="15">
        <v>186</v>
      </c>
      <c r="B196" s="15" t="s">
        <v>263</v>
      </c>
      <c r="C196" s="15" t="s">
        <v>197</v>
      </c>
      <c r="D196" s="33">
        <v>4445</v>
      </c>
      <c r="E196" s="33"/>
      <c r="F196" s="33"/>
      <c r="G196" s="17">
        <f>4202</f>
        <v>4202</v>
      </c>
      <c r="H196" s="33"/>
      <c r="I196" s="33"/>
      <c r="J196" s="15" t="s">
        <v>27</v>
      </c>
      <c r="K196" s="15"/>
      <c r="L196" s="21" t="s">
        <v>258</v>
      </c>
      <c r="M196" s="17">
        <f>4202</f>
        <v>4202</v>
      </c>
    </row>
    <row r="197" spans="1:13" ht="98.25">
      <c r="A197" s="15">
        <v>187</v>
      </c>
      <c r="B197" s="15" t="s">
        <v>263</v>
      </c>
      <c r="C197" s="15" t="s">
        <v>70</v>
      </c>
      <c r="D197" s="33">
        <v>2375</v>
      </c>
      <c r="E197" s="33"/>
      <c r="F197" s="33"/>
      <c r="G197" s="17">
        <f>1950</f>
        <v>1950</v>
      </c>
      <c r="H197" s="33"/>
      <c r="I197" s="33"/>
      <c r="J197" s="15" t="s">
        <v>27</v>
      </c>
      <c r="K197" s="15"/>
      <c r="L197" s="21" t="s">
        <v>258</v>
      </c>
      <c r="M197" s="17">
        <f>1950</f>
        <v>1950</v>
      </c>
    </row>
    <row r="198" spans="1:13" ht="98.25">
      <c r="A198" s="15">
        <v>188</v>
      </c>
      <c r="B198" s="15" t="s">
        <v>264</v>
      </c>
      <c r="C198" s="15" t="s">
        <v>265</v>
      </c>
      <c r="D198" s="33">
        <v>60</v>
      </c>
      <c r="E198" s="33"/>
      <c r="F198" s="33"/>
      <c r="G198" s="17">
        <f>60</f>
        <v>60</v>
      </c>
      <c r="H198" s="33"/>
      <c r="I198" s="33"/>
      <c r="J198" s="15" t="s">
        <v>27</v>
      </c>
      <c r="K198" s="15"/>
      <c r="L198" s="21" t="s">
        <v>258</v>
      </c>
      <c r="M198" s="17">
        <f>60</f>
        <v>60</v>
      </c>
    </row>
    <row r="199" spans="1:13" ht="98.25">
      <c r="A199" s="15">
        <v>189</v>
      </c>
      <c r="B199" s="15" t="s">
        <v>266</v>
      </c>
      <c r="C199" s="15" t="s">
        <v>50</v>
      </c>
      <c r="D199" s="33">
        <v>1800</v>
      </c>
      <c r="E199" s="33"/>
      <c r="F199" s="33"/>
      <c r="G199" s="17">
        <f>1800</f>
        <v>1800</v>
      </c>
      <c r="H199" s="33"/>
      <c r="I199" s="33"/>
      <c r="J199" s="15" t="s">
        <v>27</v>
      </c>
      <c r="K199" s="15"/>
      <c r="L199" s="21" t="s">
        <v>258</v>
      </c>
      <c r="M199" s="17">
        <f>1800</f>
        <v>1800</v>
      </c>
    </row>
    <row r="200" spans="1:13" ht="98.25">
      <c r="A200" s="15">
        <v>190</v>
      </c>
      <c r="B200" s="15" t="s">
        <v>267</v>
      </c>
      <c r="C200" s="15" t="s">
        <v>268</v>
      </c>
      <c r="D200" s="33">
        <v>600</v>
      </c>
      <c r="E200" s="33"/>
      <c r="F200" s="33"/>
      <c r="G200" s="17">
        <f>600</f>
        <v>600</v>
      </c>
      <c r="H200" s="33"/>
      <c r="I200" s="33"/>
      <c r="J200" s="15" t="s">
        <v>27</v>
      </c>
      <c r="K200" s="15"/>
      <c r="L200" s="21" t="s">
        <v>258</v>
      </c>
      <c r="M200" s="17">
        <f>600</f>
        <v>600</v>
      </c>
    </row>
    <row r="201" spans="1:13" ht="98.25">
      <c r="A201" s="15">
        <v>191</v>
      </c>
      <c r="B201" s="15" t="s">
        <v>269</v>
      </c>
      <c r="C201" s="15" t="s">
        <v>270</v>
      </c>
      <c r="D201" s="33">
        <v>600</v>
      </c>
      <c r="E201" s="33"/>
      <c r="F201" s="33"/>
      <c r="G201" s="17">
        <f>600</f>
        <v>600</v>
      </c>
      <c r="H201" s="33"/>
      <c r="I201" s="33"/>
      <c r="J201" s="15" t="s">
        <v>27</v>
      </c>
      <c r="K201" s="15"/>
      <c r="L201" s="21" t="s">
        <v>258</v>
      </c>
      <c r="M201" s="17">
        <f>600</f>
        <v>600</v>
      </c>
    </row>
    <row r="202" spans="1:13" ht="98.25">
      <c r="A202" s="15">
        <v>192</v>
      </c>
      <c r="B202" s="15" t="s">
        <v>271</v>
      </c>
      <c r="C202" s="15" t="s">
        <v>255</v>
      </c>
      <c r="D202" s="33">
        <v>2602</v>
      </c>
      <c r="E202" s="33"/>
      <c r="F202" s="33"/>
      <c r="G202" s="17">
        <f>2602</f>
        <v>2602</v>
      </c>
      <c r="H202" s="33"/>
      <c r="I202" s="33"/>
      <c r="J202" s="15" t="s">
        <v>27</v>
      </c>
      <c r="K202" s="15"/>
      <c r="L202" s="21" t="s">
        <v>258</v>
      </c>
      <c r="M202" s="17">
        <f>2602</f>
        <v>2602</v>
      </c>
    </row>
    <row r="203" spans="1:13" ht="98.25">
      <c r="A203" s="15">
        <v>193</v>
      </c>
      <c r="B203" s="15" t="s">
        <v>272</v>
      </c>
      <c r="C203" s="15" t="s">
        <v>255</v>
      </c>
      <c r="D203" s="33">
        <v>2602</v>
      </c>
      <c r="E203" s="33"/>
      <c r="F203" s="33"/>
      <c r="G203" s="17">
        <f>2602</f>
        <v>2602</v>
      </c>
      <c r="H203" s="33"/>
      <c r="I203" s="33"/>
      <c r="J203" s="15" t="s">
        <v>27</v>
      </c>
      <c r="K203" s="15"/>
      <c r="L203" s="21" t="s">
        <v>258</v>
      </c>
      <c r="M203" s="17">
        <f>2602</f>
        <v>2602</v>
      </c>
    </row>
    <row r="204" spans="1:13" ht="25.5">
      <c r="A204" s="15">
        <v>194</v>
      </c>
      <c r="B204" s="15" t="s">
        <v>273</v>
      </c>
      <c r="C204" s="15" t="s">
        <v>274</v>
      </c>
      <c r="D204" s="33">
        <v>20868</v>
      </c>
      <c r="E204" s="33"/>
      <c r="F204" s="33"/>
      <c r="G204" s="17">
        <f>20149.88</f>
        <v>20149.88</v>
      </c>
      <c r="H204" s="33"/>
      <c r="I204" s="33"/>
      <c r="J204" s="15" t="s">
        <v>10</v>
      </c>
      <c r="K204" s="36" t="s">
        <v>275</v>
      </c>
      <c r="L204" s="16"/>
      <c r="M204" s="17">
        <f>20149.88</f>
        <v>20149.88</v>
      </c>
    </row>
    <row r="205" spans="1:13" ht="49.5">
      <c r="A205" s="15">
        <v>195</v>
      </c>
      <c r="B205" s="15" t="s">
        <v>214</v>
      </c>
      <c r="C205" s="15" t="s">
        <v>50</v>
      </c>
      <c r="D205" s="33">
        <v>531</v>
      </c>
      <c r="E205" s="33"/>
      <c r="F205" s="33"/>
      <c r="G205" s="17">
        <f>531</f>
        <v>531</v>
      </c>
      <c r="H205" s="33"/>
      <c r="I205" s="33"/>
      <c r="J205" s="15" t="s">
        <v>27</v>
      </c>
      <c r="K205" s="15"/>
      <c r="L205" s="20" t="s">
        <v>51</v>
      </c>
      <c r="M205" s="17">
        <f>531</f>
        <v>531</v>
      </c>
    </row>
    <row r="206" spans="1:13" ht="49.5">
      <c r="A206" s="15">
        <v>196</v>
      </c>
      <c r="B206" s="15" t="s">
        <v>276</v>
      </c>
      <c r="C206" s="15" t="s">
        <v>277</v>
      </c>
      <c r="D206" s="33">
        <v>136</v>
      </c>
      <c r="E206" s="33"/>
      <c r="F206" s="33"/>
      <c r="G206" s="17">
        <f>136</f>
        <v>136</v>
      </c>
      <c r="H206" s="33"/>
      <c r="I206" s="33"/>
      <c r="J206" s="15" t="s">
        <v>27</v>
      </c>
      <c r="K206" s="15"/>
      <c r="L206" s="20" t="s">
        <v>31</v>
      </c>
      <c r="M206" s="17">
        <f>136</f>
        <v>136</v>
      </c>
    </row>
    <row r="207" spans="1:13">
      <c r="A207" s="15">
        <v>197</v>
      </c>
      <c r="B207" s="15" t="s">
        <v>278</v>
      </c>
      <c r="C207" s="15" t="s">
        <v>130</v>
      </c>
      <c r="D207" s="33">
        <v>10200</v>
      </c>
      <c r="E207" s="33"/>
      <c r="F207" s="33"/>
      <c r="G207" s="17">
        <f>10200</f>
        <v>10200</v>
      </c>
      <c r="H207" s="33"/>
      <c r="I207" s="33"/>
      <c r="J207" s="15" t="s">
        <v>10</v>
      </c>
      <c r="K207" s="37" t="s">
        <v>279</v>
      </c>
      <c r="L207" s="16"/>
      <c r="M207" s="17">
        <f>10200</f>
        <v>10200</v>
      </c>
    </row>
    <row r="208" spans="1:13">
      <c r="A208" s="15">
        <v>198</v>
      </c>
      <c r="B208" s="15" t="s">
        <v>273</v>
      </c>
      <c r="C208" s="15" t="s">
        <v>280</v>
      </c>
      <c r="D208" s="15">
        <v>5490</v>
      </c>
      <c r="E208" s="15"/>
      <c r="F208" s="15"/>
      <c r="G208" s="17">
        <f>5490</f>
        <v>5490</v>
      </c>
      <c r="H208" s="15"/>
      <c r="I208" s="15"/>
      <c r="J208" s="15" t="s">
        <v>10</v>
      </c>
      <c r="K208" s="37" t="s">
        <v>281</v>
      </c>
      <c r="L208" s="16"/>
      <c r="M208" s="17">
        <f>5490</f>
        <v>5490</v>
      </c>
    </row>
    <row r="209" spans="1:13" ht="49.5">
      <c r="A209" s="15">
        <v>199</v>
      </c>
      <c r="B209" s="15" t="s">
        <v>135</v>
      </c>
      <c r="C209" s="15" t="s">
        <v>282</v>
      </c>
      <c r="D209" s="33">
        <v>42.3</v>
      </c>
      <c r="E209" s="33"/>
      <c r="F209" s="33"/>
      <c r="G209" s="17">
        <f>42.3</f>
        <v>42.3</v>
      </c>
      <c r="H209" s="33"/>
      <c r="I209" s="33"/>
      <c r="J209" s="15" t="s">
        <v>27</v>
      </c>
      <c r="K209" s="15"/>
      <c r="L209" s="20" t="s">
        <v>31</v>
      </c>
      <c r="M209" s="17">
        <f>42.3</f>
        <v>42.3</v>
      </c>
    </row>
    <row r="210" spans="1:13" ht="49.5">
      <c r="A210" s="15">
        <v>200</v>
      </c>
      <c r="B210" s="15" t="s">
        <v>283</v>
      </c>
      <c r="C210" s="15" t="s">
        <v>77</v>
      </c>
      <c r="D210" s="33">
        <v>812</v>
      </c>
      <c r="E210" s="33"/>
      <c r="F210" s="33"/>
      <c r="G210" s="17">
        <f>812</f>
        <v>812</v>
      </c>
      <c r="H210" s="33"/>
      <c r="I210" s="33"/>
      <c r="J210" s="15" t="s">
        <v>27</v>
      </c>
      <c r="K210" s="15"/>
      <c r="L210" s="20" t="s">
        <v>51</v>
      </c>
      <c r="M210" s="17">
        <f>812</f>
        <v>812</v>
      </c>
    </row>
    <row r="211" spans="1:13" ht="49.5">
      <c r="A211" s="15">
        <v>201</v>
      </c>
      <c r="B211" s="15" t="s">
        <v>284</v>
      </c>
      <c r="C211" s="15" t="s">
        <v>50</v>
      </c>
      <c r="D211" s="33">
        <v>1850</v>
      </c>
      <c r="E211" s="33"/>
      <c r="F211" s="33"/>
      <c r="G211" s="17">
        <f>1850</f>
        <v>1850</v>
      </c>
      <c r="H211" s="33"/>
      <c r="I211" s="33"/>
      <c r="J211" s="15" t="s">
        <v>27</v>
      </c>
      <c r="K211" s="15"/>
      <c r="L211" s="20" t="s">
        <v>51</v>
      </c>
      <c r="M211" s="17">
        <f>1850</f>
        <v>1850</v>
      </c>
    </row>
    <row r="212" spans="1:13" ht="49.5">
      <c r="A212" s="15">
        <v>202</v>
      </c>
      <c r="B212" s="15" t="s">
        <v>69</v>
      </c>
      <c r="C212" s="15" t="s">
        <v>70</v>
      </c>
      <c r="D212" s="33">
        <v>3896</v>
      </c>
      <c r="E212" s="33"/>
      <c r="F212" s="33"/>
      <c r="G212" s="17">
        <f>3896</f>
        <v>3896</v>
      </c>
      <c r="H212" s="33"/>
      <c r="I212" s="33"/>
      <c r="J212" s="15" t="s">
        <v>27</v>
      </c>
      <c r="K212" s="15"/>
      <c r="L212" s="20" t="s">
        <v>51</v>
      </c>
      <c r="M212" s="17">
        <f>3896</f>
        <v>3896</v>
      </c>
    </row>
    <row r="213" spans="1:13" ht="68.25">
      <c r="A213" s="15">
        <v>203</v>
      </c>
      <c r="B213" s="38" t="s">
        <v>285</v>
      </c>
      <c r="C213" s="15" t="s">
        <v>70</v>
      </c>
      <c r="D213" s="33">
        <v>3927</v>
      </c>
      <c r="E213" s="33"/>
      <c r="F213" s="33"/>
      <c r="G213" s="17">
        <f>3927</f>
        <v>3927</v>
      </c>
      <c r="H213" s="33"/>
      <c r="I213" s="33"/>
      <c r="J213" s="15" t="s">
        <v>27</v>
      </c>
      <c r="K213" s="15"/>
      <c r="L213" s="20" t="s">
        <v>51</v>
      </c>
      <c r="M213" s="17">
        <f>3927</f>
        <v>3927</v>
      </c>
    </row>
    <row r="214" spans="1:13" ht="49.5">
      <c r="A214" s="15">
        <v>204</v>
      </c>
      <c r="B214" s="15" t="s">
        <v>286</v>
      </c>
      <c r="C214" s="15" t="s">
        <v>72</v>
      </c>
      <c r="D214" s="33">
        <v>211.86</v>
      </c>
      <c r="E214" s="33"/>
      <c r="F214" s="33"/>
      <c r="G214" s="17">
        <f>211.86</f>
        <v>211.86</v>
      </c>
      <c r="H214" s="33"/>
      <c r="I214" s="33"/>
      <c r="J214" s="15" t="s">
        <v>27</v>
      </c>
      <c r="K214" s="15"/>
      <c r="L214" s="20" t="s">
        <v>51</v>
      </c>
      <c r="M214" s="17">
        <f>211.86</f>
        <v>211.86</v>
      </c>
    </row>
    <row r="215" spans="1:13" ht="49.5">
      <c r="A215" s="15">
        <v>205</v>
      </c>
      <c r="B215" s="15" t="s">
        <v>243</v>
      </c>
      <c r="C215" s="15" t="s">
        <v>72</v>
      </c>
      <c r="D215" s="33">
        <v>560</v>
      </c>
      <c r="E215" s="33"/>
      <c r="F215" s="33"/>
      <c r="G215" s="17">
        <f>524.5</f>
        <v>524.5</v>
      </c>
      <c r="H215" s="33"/>
      <c r="I215" s="33"/>
      <c r="J215" s="15" t="s">
        <v>27</v>
      </c>
      <c r="K215" s="15"/>
      <c r="L215" s="20" t="s">
        <v>51</v>
      </c>
      <c r="M215" s="17">
        <f>524.5</f>
        <v>524.5</v>
      </c>
    </row>
    <row r="216" spans="1:13" ht="49.5">
      <c r="A216" s="15">
        <v>206</v>
      </c>
      <c r="B216" s="15" t="s">
        <v>244</v>
      </c>
      <c r="C216" s="15" t="s">
        <v>72</v>
      </c>
      <c r="D216" s="33">
        <v>210</v>
      </c>
      <c r="E216" s="33"/>
      <c r="F216" s="33"/>
      <c r="G216" s="17">
        <f>204.05</f>
        <v>204.05</v>
      </c>
      <c r="H216" s="33"/>
      <c r="I216" s="33"/>
      <c r="J216" s="15" t="s">
        <v>27</v>
      </c>
      <c r="K216" s="15"/>
      <c r="L216" s="20" t="s">
        <v>51</v>
      </c>
      <c r="M216" s="17">
        <f>204.05</f>
        <v>204.05</v>
      </c>
    </row>
    <row r="217" spans="1:13">
      <c r="A217" s="15"/>
      <c r="B217" s="15"/>
      <c r="C217" s="15"/>
      <c r="D217" s="33"/>
      <c r="E217" s="33"/>
      <c r="F217" s="33"/>
      <c r="G217" s="17"/>
      <c r="H217" s="33"/>
      <c r="I217" s="33"/>
      <c r="J217" s="15"/>
      <c r="K217" s="15"/>
      <c r="L217" s="20"/>
      <c r="M217" s="17"/>
    </row>
    <row r="218" spans="1:13" ht="49.5">
      <c r="A218" s="15">
        <v>208</v>
      </c>
      <c r="B218" s="15" t="s">
        <v>287</v>
      </c>
      <c r="C218" s="15" t="s">
        <v>195</v>
      </c>
      <c r="D218" s="33">
        <v>42</v>
      </c>
      <c r="E218" s="33"/>
      <c r="F218" s="33"/>
      <c r="G218" s="17">
        <f>42</f>
        <v>42</v>
      </c>
      <c r="H218" s="33"/>
      <c r="I218" s="33"/>
      <c r="J218" s="15" t="s">
        <v>27</v>
      </c>
      <c r="K218" s="15"/>
      <c r="L218" s="20" t="s">
        <v>51</v>
      </c>
      <c r="M218" s="17">
        <f>42</f>
        <v>42</v>
      </c>
    </row>
    <row r="219" spans="1:13" ht="49.5">
      <c r="A219" s="15">
        <v>209</v>
      </c>
      <c r="B219" s="15" t="s">
        <v>288</v>
      </c>
      <c r="C219" s="15" t="s">
        <v>289</v>
      </c>
      <c r="D219" s="33">
        <v>70</v>
      </c>
      <c r="E219" s="33"/>
      <c r="F219" s="33"/>
      <c r="G219" s="17">
        <f>70</f>
        <v>70</v>
      </c>
      <c r="H219" s="33"/>
      <c r="I219" s="33"/>
      <c r="J219" s="15" t="s">
        <v>27</v>
      </c>
      <c r="K219" s="15"/>
      <c r="L219" s="20" t="s">
        <v>31</v>
      </c>
      <c r="M219" s="17">
        <f>70</f>
        <v>70</v>
      </c>
    </row>
    <row r="220" spans="1:13" ht="49.5">
      <c r="A220" s="15">
        <v>210</v>
      </c>
      <c r="B220" s="15" t="s">
        <v>290</v>
      </c>
      <c r="C220" s="15" t="s">
        <v>291</v>
      </c>
      <c r="D220" s="33">
        <v>1299</v>
      </c>
      <c r="E220" s="33"/>
      <c r="F220" s="33"/>
      <c r="G220" s="17">
        <f>1299</f>
        <v>1299</v>
      </c>
      <c r="H220" s="33"/>
      <c r="I220" s="33"/>
      <c r="J220" s="15" t="s">
        <v>27</v>
      </c>
      <c r="K220" s="15"/>
      <c r="L220" s="20" t="s">
        <v>31</v>
      </c>
      <c r="M220" s="17">
        <f>1299</f>
        <v>1299</v>
      </c>
    </row>
    <row r="221" spans="1:13" ht="49.5">
      <c r="A221" s="15">
        <v>211</v>
      </c>
      <c r="B221" s="15" t="s">
        <v>76</v>
      </c>
      <c r="C221" s="15" t="s">
        <v>77</v>
      </c>
      <c r="D221" s="33">
        <v>118</v>
      </c>
      <c r="E221" s="33"/>
      <c r="F221" s="33"/>
      <c r="G221" s="46">
        <f>118</f>
        <v>118</v>
      </c>
      <c r="H221" s="33"/>
      <c r="I221" s="33"/>
      <c r="J221" s="15" t="s">
        <v>27</v>
      </c>
      <c r="K221" s="15"/>
      <c r="L221" s="20" t="s">
        <v>51</v>
      </c>
      <c r="M221" s="46">
        <f>118</f>
        <v>118</v>
      </c>
    </row>
    <row r="222" spans="1:13" ht="25.5">
      <c r="A222" s="15">
        <v>212</v>
      </c>
      <c r="B222" s="15" t="s">
        <v>292</v>
      </c>
      <c r="C222" s="15" t="s">
        <v>96</v>
      </c>
      <c r="D222" s="33">
        <v>13998.34</v>
      </c>
      <c r="E222" s="33"/>
      <c r="F222" s="33"/>
      <c r="G222" s="46">
        <f>13998.34</f>
        <v>13998.34</v>
      </c>
      <c r="H222" s="33"/>
      <c r="I222" s="33"/>
      <c r="J222" s="15" t="s">
        <v>97</v>
      </c>
      <c r="K222" s="22" t="s">
        <v>293</v>
      </c>
      <c r="L222" s="16"/>
      <c r="M222" s="46">
        <f>13998.34</f>
        <v>13998.34</v>
      </c>
    </row>
    <row r="223" spans="1:13" ht="48.75">
      <c r="A223" s="47">
        <v>213</v>
      </c>
      <c r="B223" s="15" t="s">
        <v>241</v>
      </c>
      <c r="C223" s="15" t="s">
        <v>70</v>
      </c>
      <c r="D223" s="33">
        <v>4022.78</v>
      </c>
      <c r="E223" s="33"/>
      <c r="F223" s="33"/>
      <c r="G223" s="46" t="s">
        <v>406</v>
      </c>
      <c r="H223" s="33"/>
      <c r="I223" s="33"/>
      <c r="J223" s="15" t="s">
        <v>27</v>
      </c>
      <c r="K223" s="15"/>
      <c r="L223" s="20" t="s">
        <v>125</v>
      </c>
      <c r="M223" s="46" t="s">
        <v>406</v>
      </c>
    </row>
    <row r="224" spans="1:13" ht="48.75">
      <c r="A224" s="15">
        <v>214</v>
      </c>
      <c r="B224" s="15" t="s">
        <v>294</v>
      </c>
      <c r="C224" s="15" t="s">
        <v>70</v>
      </c>
      <c r="D224" s="33">
        <v>2139.3000000000002</v>
      </c>
      <c r="E224" s="33"/>
      <c r="F224" s="33"/>
      <c r="G224" s="46">
        <f>2139.3</f>
        <v>2139.3000000000002</v>
      </c>
      <c r="H224" s="33"/>
      <c r="I224" s="33"/>
      <c r="J224" s="15" t="s">
        <v>27</v>
      </c>
      <c r="K224" s="15"/>
      <c r="L224" s="20" t="s">
        <v>125</v>
      </c>
      <c r="M224" s="46">
        <f>2139.3</f>
        <v>2139.3000000000002</v>
      </c>
    </row>
    <row r="225" spans="1:13" ht="49.5">
      <c r="A225" s="15">
        <v>215</v>
      </c>
      <c r="B225" s="15" t="s">
        <v>295</v>
      </c>
      <c r="C225" s="15" t="s">
        <v>296</v>
      </c>
      <c r="D225" s="33">
        <v>332.5</v>
      </c>
      <c r="E225" s="33"/>
      <c r="F225" s="33"/>
      <c r="G225" s="46">
        <f>332.5</f>
        <v>332.5</v>
      </c>
      <c r="H225" s="33"/>
      <c r="I225" s="33"/>
      <c r="J225" s="15" t="s">
        <v>27</v>
      </c>
      <c r="K225" s="15"/>
      <c r="L225" s="20" t="s">
        <v>31</v>
      </c>
      <c r="M225" s="46">
        <f>332.5</f>
        <v>332.5</v>
      </c>
    </row>
    <row r="226" spans="1:13" ht="25.5">
      <c r="A226" s="47">
        <v>216</v>
      </c>
      <c r="B226" s="15" t="s">
        <v>297</v>
      </c>
      <c r="C226" s="15" t="s">
        <v>298</v>
      </c>
      <c r="D226" s="33">
        <v>424</v>
      </c>
      <c r="E226" s="33"/>
      <c r="F226" s="33"/>
      <c r="G226" s="46" t="s">
        <v>406</v>
      </c>
      <c r="H226" s="33"/>
      <c r="I226" s="33"/>
      <c r="J226" s="15" t="s">
        <v>10</v>
      </c>
      <c r="K226" s="37" t="s">
        <v>299</v>
      </c>
      <c r="L226" s="16"/>
      <c r="M226" s="46" t="s">
        <v>406</v>
      </c>
    </row>
    <row r="227" spans="1:13">
      <c r="A227" s="47">
        <v>217</v>
      </c>
      <c r="B227" s="15" t="s">
        <v>300</v>
      </c>
      <c r="C227" s="15" t="s">
        <v>301</v>
      </c>
      <c r="D227" s="33">
        <v>7800</v>
      </c>
      <c r="E227" s="33"/>
      <c r="F227" s="33"/>
      <c r="G227" s="46" t="s">
        <v>406</v>
      </c>
      <c r="H227" s="33"/>
      <c r="I227" s="33"/>
      <c r="J227" s="15" t="s">
        <v>10</v>
      </c>
      <c r="K227" s="37" t="s">
        <v>302</v>
      </c>
      <c r="L227" s="16"/>
      <c r="M227" s="46" t="s">
        <v>406</v>
      </c>
    </row>
    <row r="228" spans="1:13" ht="49.5">
      <c r="A228" s="15">
        <v>218</v>
      </c>
      <c r="B228" s="15" t="s">
        <v>218</v>
      </c>
      <c r="C228" s="15" t="s">
        <v>72</v>
      </c>
      <c r="D228" s="33">
        <v>3000</v>
      </c>
      <c r="E228" s="33"/>
      <c r="F228" s="33"/>
      <c r="G228" s="46">
        <f>158.71</f>
        <v>158.71</v>
      </c>
      <c r="H228" s="33"/>
      <c r="I228" s="33"/>
      <c r="J228" s="15" t="s">
        <v>27</v>
      </c>
      <c r="K228" s="15"/>
      <c r="L228" s="20" t="s">
        <v>51</v>
      </c>
      <c r="M228" s="46">
        <f>158.71</f>
        <v>158.71</v>
      </c>
    </row>
    <row r="229" spans="1:13" ht="49.5">
      <c r="A229" s="15">
        <v>219</v>
      </c>
      <c r="B229" s="15" t="s">
        <v>303</v>
      </c>
      <c r="C229" s="15" t="s">
        <v>72</v>
      </c>
      <c r="D229" s="33">
        <v>3500</v>
      </c>
      <c r="E229" s="33"/>
      <c r="F229" s="33"/>
      <c r="G229" s="46">
        <f>160</f>
        <v>160</v>
      </c>
      <c r="H229" s="33"/>
      <c r="I229" s="33"/>
      <c r="J229" s="15" t="s">
        <v>27</v>
      </c>
      <c r="K229" s="15"/>
      <c r="L229" s="20" t="s">
        <v>51</v>
      </c>
      <c r="M229" s="46">
        <f>160</f>
        <v>160</v>
      </c>
    </row>
    <row r="230" spans="1:13" ht="25.5">
      <c r="A230" s="15">
        <v>220</v>
      </c>
      <c r="B230" s="15" t="s">
        <v>264</v>
      </c>
      <c r="C230" s="15" t="s">
        <v>304</v>
      </c>
      <c r="D230" s="33">
        <v>3300</v>
      </c>
      <c r="E230" s="33"/>
      <c r="F230" s="33"/>
      <c r="G230" s="46">
        <f>3300</f>
        <v>3300</v>
      </c>
      <c r="H230" s="33"/>
      <c r="I230" s="33"/>
      <c r="J230" s="15" t="s">
        <v>10</v>
      </c>
      <c r="K230" s="22" t="s">
        <v>305</v>
      </c>
      <c r="L230" s="16"/>
      <c r="M230" s="46">
        <f>3300</f>
        <v>3300</v>
      </c>
    </row>
    <row r="231" spans="1:13">
      <c r="A231" s="15">
        <v>221</v>
      </c>
      <c r="B231" s="15" t="s">
        <v>306</v>
      </c>
      <c r="C231" s="15" t="s">
        <v>65</v>
      </c>
      <c r="D231" s="33">
        <v>1100</v>
      </c>
      <c r="E231" s="33"/>
      <c r="F231" s="33"/>
      <c r="G231" s="46">
        <f>198</f>
        <v>198</v>
      </c>
      <c r="H231" s="33"/>
      <c r="I231" s="33"/>
      <c r="J231" s="15" t="s">
        <v>10</v>
      </c>
      <c r="K231" s="37" t="s">
        <v>307</v>
      </c>
      <c r="L231" s="16"/>
      <c r="M231" s="46">
        <f>198</f>
        <v>198</v>
      </c>
    </row>
    <row r="232" spans="1:13" ht="25.5">
      <c r="A232" s="15">
        <v>222</v>
      </c>
      <c r="B232" s="15" t="s">
        <v>308</v>
      </c>
      <c r="C232" s="15" t="s">
        <v>96</v>
      </c>
      <c r="D232" s="33">
        <v>23066.400000000001</v>
      </c>
      <c r="E232" s="33"/>
      <c r="F232" s="33"/>
      <c r="G232" s="46">
        <f>23066.4</f>
        <v>23066.400000000001</v>
      </c>
      <c r="H232" s="33"/>
      <c r="I232" s="33"/>
      <c r="J232" s="15" t="s">
        <v>97</v>
      </c>
      <c r="K232" s="37" t="s">
        <v>309</v>
      </c>
      <c r="L232" s="16"/>
      <c r="M232" s="46">
        <f>23066.4</f>
        <v>23066.400000000001</v>
      </c>
    </row>
    <row r="233" spans="1:13" ht="48.75">
      <c r="A233" s="15">
        <v>223</v>
      </c>
      <c r="B233" s="15" t="s">
        <v>106</v>
      </c>
      <c r="C233" s="15" t="s">
        <v>310</v>
      </c>
      <c r="D233" s="33">
        <v>600</v>
      </c>
      <c r="E233" s="33"/>
      <c r="F233" s="33"/>
      <c r="G233" s="46">
        <f>131.33</f>
        <v>131.33000000000001</v>
      </c>
      <c r="H233" s="33"/>
      <c r="I233" s="33"/>
      <c r="J233" s="15" t="s">
        <v>27</v>
      </c>
      <c r="K233" s="15"/>
      <c r="L233" s="20" t="s">
        <v>125</v>
      </c>
      <c r="M233" s="46">
        <f>131.33</f>
        <v>131.33000000000001</v>
      </c>
    </row>
    <row r="234" spans="1:13" ht="48.75">
      <c r="A234" s="15">
        <v>224</v>
      </c>
      <c r="B234" s="15" t="s">
        <v>106</v>
      </c>
      <c r="C234" s="15" t="s">
        <v>311</v>
      </c>
      <c r="D234" s="33">
        <v>200</v>
      </c>
      <c r="E234" s="33"/>
      <c r="F234" s="33"/>
      <c r="G234" s="46">
        <f>34.2</f>
        <v>34.200000000000003</v>
      </c>
      <c r="H234" s="33"/>
      <c r="I234" s="33"/>
      <c r="J234" s="15" t="s">
        <v>27</v>
      </c>
      <c r="K234" s="15"/>
      <c r="L234" s="20" t="s">
        <v>125</v>
      </c>
      <c r="M234" s="46">
        <f>34.2</f>
        <v>34.200000000000003</v>
      </c>
    </row>
    <row r="235" spans="1:13" ht="48.75">
      <c r="A235" s="15">
        <v>225</v>
      </c>
      <c r="B235" s="15" t="s">
        <v>106</v>
      </c>
      <c r="C235" s="15" t="s">
        <v>48</v>
      </c>
      <c r="D235" s="33">
        <v>200</v>
      </c>
      <c r="E235" s="33"/>
      <c r="F235" s="33"/>
      <c r="G235" s="46">
        <f>7.2</f>
        <v>7.2</v>
      </c>
      <c r="H235" s="33"/>
      <c r="I235" s="33"/>
      <c r="J235" s="15" t="s">
        <v>27</v>
      </c>
      <c r="K235" s="15"/>
      <c r="L235" s="20" t="s">
        <v>125</v>
      </c>
      <c r="M235" s="46">
        <f>7.2</f>
        <v>7.2</v>
      </c>
    </row>
    <row r="236" spans="1:13" ht="25.5">
      <c r="A236" s="15">
        <v>226</v>
      </c>
      <c r="B236" s="15" t="s">
        <v>312</v>
      </c>
      <c r="C236" s="15" t="s">
        <v>313</v>
      </c>
      <c r="D236" s="33">
        <v>4950</v>
      </c>
      <c r="E236" s="33"/>
      <c r="F236" s="33"/>
      <c r="G236" s="46">
        <f>750</f>
        <v>750</v>
      </c>
      <c r="H236" s="33"/>
      <c r="I236" s="33"/>
      <c r="J236" s="15" t="s">
        <v>10</v>
      </c>
      <c r="K236" s="37" t="s">
        <v>314</v>
      </c>
      <c r="L236" s="16"/>
      <c r="M236" s="46">
        <f>750</f>
        <v>750</v>
      </c>
    </row>
    <row r="237" spans="1:13" ht="48.75">
      <c r="A237" s="15">
        <v>227</v>
      </c>
      <c r="B237" s="15" t="s">
        <v>315</v>
      </c>
      <c r="C237" s="15" t="s">
        <v>50</v>
      </c>
      <c r="D237" s="33">
        <v>3500</v>
      </c>
      <c r="E237" s="33"/>
      <c r="F237" s="33"/>
      <c r="G237" s="46">
        <f>3500</f>
        <v>3500</v>
      </c>
      <c r="H237" s="33"/>
      <c r="I237" s="33"/>
      <c r="J237" s="15" t="s">
        <v>27</v>
      </c>
      <c r="K237" s="15"/>
      <c r="L237" s="20" t="s">
        <v>125</v>
      </c>
      <c r="M237" s="46">
        <f>3500</f>
        <v>3500</v>
      </c>
    </row>
    <row r="238" spans="1:13" ht="48.75">
      <c r="A238" s="15">
        <v>228</v>
      </c>
      <c r="B238" s="15" t="s">
        <v>146</v>
      </c>
      <c r="C238" s="15" t="s">
        <v>70</v>
      </c>
      <c r="D238" s="33">
        <v>699</v>
      </c>
      <c r="E238" s="33"/>
      <c r="F238" s="33"/>
      <c r="G238" s="46">
        <f>699</f>
        <v>699</v>
      </c>
      <c r="H238" s="33"/>
      <c r="I238" s="33"/>
      <c r="J238" s="15" t="s">
        <v>27</v>
      </c>
      <c r="K238" s="15"/>
      <c r="L238" s="20" t="s">
        <v>125</v>
      </c>
      <c r="M238" s="46">
        <f>699</f>
        <v>699</v>
      </c>
    </row>
    <row r="239" spans="1:13" ht="48.75">
      <c r="A239" s="15">
        <v>229</v>
      </c>
      <c r="B239" s="15" t="s">
        <v>146</v>
      </c>
      <c r="C239" s="15" t="s">
        <v>147</v>
      </c>
      <c r="D239" s="33">
        <v>1146</v>
      </c>
      <c r="E239" s="33"/>
      <c r="F239" s="33"/>
      <c r="G239" s="46">
        <f>1146.6</f>
        <v>1146.5999999999999</v>
      </c>
      <c r="H239" s="33"/>
      <c r="I239" s="33"/>
      <c r="J239" s="15" t="s">
        <v>27</v>
      </c>
      <c r="K239" s="15"/>
      <c r="L239" s="20" t="s">
        <v>125</v>
      </c>
      <c r="M239" s="46">
        <f>1146.6</f>
        <v>1146.5999999999999</v>
      </c>
    </row>
    <row r="240" spans="1:13" ht="48.75">
      <c r="A240" s="15">
        <v>230</v>
      </c>
      <c r="B240" s="15" t="s">
        <v>241</v>
      </c>
      <c r="C240" s="15" t="s">
        <v>72</v>
      </c>
      <c r="D240" s="33">
        <v>800</v>
      </c>
      <c r="E240" s="33"/>
      <c r="F240" s="33"/>
      <c r="G240" s="46">
        <f>798</f>
        <v>798</v>
      </c>
      <c r="H240" s="33"/>
      <c r="I240" s="33"/>
      <c r="J240" s="15" t="s">
        <v>27</v>
      </c>
      <c r="K240" s="15"/>
      <c r="L240" s="20" t="s">
        <v>125</v>
      </c>
      <c r="M240" s="46">
        <f>798</f>
        <v>798</v>
      </c>
    </row>
    <row r="241" spans="1:13" ht="49.5">
      <c r="A241" s="15">
        <v>231</v>
      </c>
      <c r="B241" s="15" t="s">
        <v>316</v>
      </c>
      <c r="C241" s="15" t="s">
        <v>317</v>
      </c>
      <c r="D241" s="33">
        <v>370.8</v>
      </c>
      <c r="E241" s="33"/>
      <c r="F241" s="33"/>
      <c r="G241" s="46">
        <f>370.8</f>
        <v>370.8</v>
      </c>
      <c r="H241" s="33"/>
      <c r="I241" s="33"/>
      <c r="J241" s="15" t="s">
        <v>27</v>
      </c>
      <c r="K241" s="15"/>
      <c r="L241" s="20" t="s">
        <v>31</v>
      </c>
      <c r="M241" s="46">
        <f>370.8</f>
        <v>370.8</v>
      </c>
    </row>
    <row r="242" spans="1:13" ht="25.5">
      <c r="A242" s="15">
        <v>232</v>
      </c>
      <c r="B242" s="15" t="s">
        <v>318</v>
      </c>
      <c r="C242" s="15" t="s">
        <v>319</v>
      </c>
      <c r="D242" s="33">
        <v>17150</v>
      </c>
      <c r="E242" s="33"/>
      <c r="F242" s="33"/>
      <c r="G242" s="46">
        <f>3830</f>
        <v>3830</v>
      </c>
      <c r="H242" s="33"/>
      <c r="I242" s="33"/>
      <c r="J242" s="15" t="s">
        <v>10</v>
      </c>
      <c r="K242" s="37" t="s">
        <v>320</v>
      </c>
      <c r="L242" s="16"/>
      <c r="M242" s="46">
        <f>3830</f>
        <v>3830</v>
      </c>
    </row>
    <row r="243" spans="1:13" ht="49.5">
      <c r="A243" s="15">
        <v>233</v>
      </c>
      <c r="B243" s="15" t="s">
        <v>321</v>
      </c>
      <c r="C243" s="15" t="s">
        <v>322</v>
      </c>
      <c r="D243" s="33">
        <v>14192.61</v>
      </c>
      <c r="E243" s="33"/>
      <c r="F243" s="33"/>
      <c r="G243" s="46">
        <f>14192.61</f>
        <v>14192.61</v>
      </c>
      <c r="H243" s="33"/>
      <c r="I243" s="33"/>
      <c r="J243" s="15" t="s">
        <v>27</v>
      </c>
      <c r="K243" s="15"/>
      <c r="L243" s="20" t="s">
        <v>51</v>
      </c>
      <c r="M243" s="46">
        <f>14192.61</f>
        <v>14192.61</v>
      </c>
    </row>
    <row r="244" spans="1:13" ht="49.5">
      <c r="A244" s="15">
        <v>234</v>
      </c>
      <c r="B244" s="15" t="s">
        <v>323</v>
      </c>
      <c r="C244" s="15" t="s">
        <v>50</v>
      </c>
      <c r="D244" s="33">
        <v>3445</v>
      </c>
      <c r="E244" s="33"/>
      <c r="F244" s="33"/>
      <c r="G244" s="46">
        <f>3445</f>
        <v>3445</v>
      </c>
      <c r="H244" s="33"/>
      <c r="I244" s="33"/>
      <c r="J244" s="15" t="s">
        <v>27</v>
      </c>
      <c r="K244" s="15"/>
      <c r="L244" s="20" t="s">
        <v>51</v>
      </c>
      <c r="M244" s="46">
        <f>3445</f>
        <v>3445</v>
      </c>
    </row>
    <row r="245" spans="1:13" ht="49.5">
      <c r="A245" s="15">
        <v>235</v>
      </c>
      <c r="B245" s="15" t="s">
        <v>324</v>
      </c>
      <c r="C245" s="15" t="s">
        <v>70</v>
      </c>
      <c r="D245" s="33">
        <v>2224.56</v>
      </c>
      <c r="E245" s="33"/>
      <c r="F245" s="33"/>
      <c r="G245" s="46">
        <f>2224.56</f>
        <v>2224.56</v>
      </c>
      <c r="H245" s="33"/>
      <c r="I245" s="33"/>
      <c r="J245" s="15" t="s">
        <v>27</v>
      </c>
      <c r="K245" s="15"/>
      <c r="L245" s="20" t="s">
        <v>51</v>
      </c>
      <c r="M245" s="46">
        <f>2224.56</f>
        <v>2224.56</v>
      </c>
    </row>
    <row r="246" spans="1:13" ht="49.5">
      <c r="A246" s="15">
        <v>236</v>
      </c>
      <c r="B246" s="15" t="s">
        <v>325</v>
      </c>
      <c r="C246" s="15" t="s">
        <v>70</v>
      </c>
      <c r="D246" s="33">
        <v>894.6</v>
      </c>
      <c r="E246" s="33"/>
      <c r="F246" s="33"/>
      <c r="G246" s="46">
        <f>894.6</f>
        <v>894.6</v>
      </c>
      <c r="H246" s="33"/>
      <c r="I246" s="33"/>
      <c r="J246" s="15" t="s">
        <v>27</v>
      </c>
      <c r="K246" s="15"/>
      <c r="L246" s="20" t="s">
        <v>51</v>
      </c>
      <c r="M246" s="46">
        <f>894.6</f>
        <v>894.6</v>
      </c>
    </row>
    <row r="247" spans="1:13" ht="51">
      <c r="A247" s="15">
        <v>237</v>
      </c>
      <c r="B247" s="15" t="s">
        <v>326</v>
      </c>
      <c r="C247" s="15" t="s">
        <v>70</v>
      </c>
      <c r="D247" s="33">
        <v>3300.24</v>
      </c>
      <c r="E247" s="33"/>
      <c r="F247" s="33"/>
      <c r="G247" s="46">
        <f>3300.24</f>
        <v>3300.24</v>
      </c>
      <c r="H247" s="33"/>
      <c r="I247" s="33"/>
      <c r="J247" s="15" t="s">
        <v>27</v>
      </c>
      <c r="K247" s="15"/>
      <c r="L247" s="20" t="s">
        <v>51</v>
      </c>
      <c r="M247" s="46">
        <f>3300.24</f>
        <v>3300.24</v>
      </c>
    </row>
    <row r="248" spans="1:13" ht="49.5">
      <c r="A248" s="15">
        <v>238</v>
      </c>
      <c r="B248" s="15" t="s">
        <v>324</v>
      </c>
      <c r="C248" s="15" t="s">
        <v>72</v>
      </c>
      <c r="D248" s="33">
        <v>840</v>
      </c>
      <c r="E248" s="33"/>
      <c r="F248" s="33"/>
      <c r="G248" s="46">
        <f>830.72</f>
        <v>830.72</v>
      </c>
      <c r="H248" s="33"/>
      <c r="I248" s="33"/>
      <c r="J248" s="15" t="s">
        <v>27</v>
      </c>
      <c r="K248" s="15"/>
      <c r="L248" s="20" t="s">
        <v>51</v>
      </c>
      <c r="M248" s="46">
        <f>830.72</f>
        <v>830.72</v>
      </c>
    </row>
    <row r="249" spans="1:13" ht="49.5">
      <c r="A249" s="15">
        <v>239</v>
      </c>
      <c r="B249" s="15" t="s">
        <v>327</v>
      </c>
      <c r="C249" s="15" t="s">
        <v>72</v>
      </c>
      <c r="D249" s="33">
        <v>480</v>
      </c>
      <c r="E249" s="33"/>
      <c r="F249" s="33"/>
      <c r="G249" s="46">
        <f>475</f>
        <v>475</v>
      </c>
      <c r="H249" s="33"/>
      <c r="I249" s="33"/>
      <c r="J249" s="15" t="s">
        <v>27</v>
      </c>
      <c r="K249" s="15"/>
      <c r="L249" s="20" t="s">
        <v>51</v>
      </c>
      <c r="M249" s="46">
        <f>475</f>
        <v>475</v>
      </c>
    </row>
    <row r="250" spans="1:13" ht="49.5">
      <c r="A250" s="15">
        <v>240</v>
      </c>
      <c r="B250" s="15" t="s">
        <v>328</v>
      </c>
      <c r="C250" s="15" t="s">
        <v>72</v>
      </c>
      <c r="D250" s="33">
        <v>536.4</v>
      </c>
      <c r="E250" s="33"/>
      <c r="F250" s="33"/>
      <c r="G250" s="46">
        <f>535.4</f>
        <v>535.4</v>
      </c>
      <c r="H250" s="33"/>
      <c r="I250" s="33"/>
      <c r="J250" s="15" t="s">
        <v>27</v>
      </c>
      <c r="K250" s="15"/>
      <c r="L250" s="20" t="s">
        <v>51</v>
      </c>
      <c r="M250" s="46">
        <f>535.4</f>
        <v>535.4</v>
      </c>
    </row>
    <row r="251" spans="1:13" ht="49.5">
      <c r="A251" s="15">
        <v>241</v>
      </c>
      <c r="B251" s="15" t="s">
        <v>325</v>
      </c>
      <c r="C251" s="15" t="s">
        <v>72</v>
      </c>
      <c r="D251" s="33">
        <v>480</v>
      </c>
      <c r="E251" s="33"/>
      <c r="F251" s="33"/>
      <c r="G251" s="46">
        <f>480</f>
        <v>480</v>
      </c>
      <c r="H251" s="33"/>
      <c r="I251" s="33"/>
      <c r="J251" s="15" t="s">
        <v>27</v>
      </c>
      <c r="K251" s="15"/>
      <c r="L251" s="20" t="s">
        <v>51</v>
      </c>
      <c r="M251" s="46">
        <f>480</f>
        <v>480</v>
      </c>
    </row>
    <row r="252" spans="1:13" ht="49.5">
      <c r="A252" s="15">
        <v>242</v>
      </c>
      <c r="B252" s="15" t="s">
        <v>329</v>
      </c>
      <c r="C252" s="15" t="s">
        <v>72</v>
      </c>
      <c r="D252" s="33">
        <v>960</v>
      </c>
      <c r="E252" s="33"/>
      <c r="F252" s="33"/>
      <c r="G252" s="46">
        <f>960</f>
        <v>960</v>
      </c>
      <c r="H252" s="33"/>
      <c r="I252" s="33"/>
      <c r="J252" s="15" t="s">
        <v>27</v>
      </c>
      <c r="K252" s="15"/>
      <c r="L252" s="20" t="s">
        <v>51</v>
      </c>
      <c r="M252" s="46">
        <f>960</f>
        <v>960</v>
      </c>
    </row>
    <row r="253" spans="1:13" ht="49.5">
      <c r="A253" s="15">
        <v>243</v>
      </c>
      <c r="B253" s="15" t="s">
        <v>329</v>
      </c>
      <c r="C253" s="15" t="s">
        <v>70</v>
      </c>
      <c r="D253" s="33">
        <v>2751.6</v>
      </c>
      <c r="E253" s="33"/>
      <c r="F253" s="33"/>
      <c r="G253" s="46">
        <f>2751.6</f>
        <v>2751.6</v>
      </c>
      <c r="H253" s="33"/>
      <c r="I253" s="33"/>
      <c r="J253" s="15" t="s">
        <v>27</v>
      </c>
      <c r="K253" s="15"/>
      <c r="L253" s="20" t="s">
        <v>51</v>
      </c>
      <c r="M253" s="46">
        <f>2751.6</f>
        <v>2751.6</v>
      </c>
    </row>
    <row r="254" spans="1:13" ht="49.5">
      <c r="A254" s="15">
        <v>244</v>
      </c>
      <c r="B254" s="15" t="s">
        <v>303</v>
      </c>
      <c r="C254" s="15" t="s">
        <v>72</v>
      </c>
      <c r="D254" s="33">
        <v>480</v>
      </c>
      <c r="E254" s="33"/>
      <c r="F254" s="33"/>
      <c r="G254" s="46">
        <f>399.4</f>
        <v>399.4</v>
      </c>
      <c r="H254" s="33"/>
      <c r="I254" s="33"/>
      <c r="J254" s="15" t="s">
        <v>27</v>
      </c>
      <c r="K254" s="15"/>
      <c r="L254" s="20" t="s">
        <v>51</v>
      </c>
      <c r="M254" s="46">
        <f>399.4</f>
        <v>399.4</v>
      </c>
    </row>
    <row r="255" spans="1:13" ht="49.5">
      <c r="A255" s="15">
        <v>245</v>
      </c>
      <c r="B255" s="15" t="s">
        <v>287</v>
      </c>
      <c r="C255" s="15" t="s">
        <v>195</v>
      </c>
      <c r="D255" s="33">
        <v>72</v>
      </c>
      <c r="E255" s="33"/>
      <c r="F255" s="33"/>
      <c r="G255" s="46">
        <f>72</f>
        <v>72</v>
      </c>
      <c r="H255" s="33"/>
      <c r="I255" s="33"/>
      <c r="J255" s="15" t="s">
        <v>27</v>
      </c>
      <c r="K255" s="15"/>
      <c r="L255" s="20" t="s">
        <v>51</v>
      </c>
      <c r="M255" s="46">
        <f>72</f>
        <v>72</v>
      </c>
    </row>
    <row r="256" spans="1:13" ht="49.5">
      <c r="A256" s="15">
        <v>246</v>
      </c>
      <c r="B256" s="15" t="s">
        <v>244</v>
      </c>
      <c r="C256" s="15" t="s">
        <v>72</v>
      </c>
      <c r="D256" s="33">
        <v>360</v>
      </c>
      <c r="E256" s="33"/>
      <c r="F256" s="33"/>
      <c r="G256" s="46">
        <f>352</f>
        <v>352</v>
      </c>
      <c r="H256" s="33"/>
      <c r="I256" s="33"/>
      <c r="J256" s="15" t="s">
        <v>27</v>
      </c>
      <c r="K256" s="15"/>
      <c r="L256" s="20" t="s">
        <v>51</v>
      </c>
      <c r="M256" s="46">
        <f>352</f>
        <v>352</v>
      </c>
    </row>
    <row r="257" spans="1:13" ht="49.5">
      <c r="A257" s="15">
        <v>247</v>
      </c>
      <c r="B257" s="15" t="s">
        <v>330</v>
      </c>
      <c r="C257" s="15" t="s">
        <v>72</v>
      </c>
      <c r="D257" s="33">
        <v>480</v>
      </c>
      <c r="E257" s="33"/>
      <c r="F257" s="33"/>
      <c r="G257" s="46">
        <f>442</f>
        <v>442</v>
      </c>
      <c r="H257" s="33"/>
      <c r="I257" s="33"/>
      <c r="J257" s="15" t="s">
        <v>27</v>
      </c>
      <c r="K257" s="15"/>
      <c r="L257" s="20" t="s">
        <v>51</v>
      </c>
      <c r="M257" s="46">
        <f>442</f>
        <v>442</v>
      </c>
    </row>
    <row r="258" spans="1:13" ht="49.5">
      <c r="A258" s="15">
        <v>248</v>
      </c>
      <c r="B258" s="15" t="s">
        <v>286</v>
      </c>
      <c r="C258" s="15" t="s">
        <v>72</v>
      </c>
      <c r="D258" s="33">
        <v>360</v>
      </c>
      <c r="E258" s="33"/>
      <c r="F258" s="33"/>
      <c r="G258" s="46">
        <f>288.31</f>
        <v>288.31</v>
      </c>
      <c r="H258" s="33"/>
      <c r="I258" s="33"/>
      <c r="J258" s="15" t="s">
        <v>27</v>
      </c>
      <c r="K258" s="15"/>
      <c r="L258" s="20" t="s">
        <v>51</v>
      </c>
      <c r="M258" s="46">
        <f>288.31</f>
        <v>288.31</v>
      </c>
    </row>
    <row r="259" spans="1:13" ht="49.5">
      <c r="A259" s="15">
        <v>249</v>
      </c>
      <c r="B259" s="15" t="s">
        <v>222</v>
      </c>
      <c r="C259" s="15" t="s">
        <v>77</v>
      </c>
      <c r="D259" s="33">
        <v>1412</v>
      </c>
      <c r="E259" s="33"/>
      <c r="F259" s="33"/>
      <c r="G259" s="46">
        <f>1412</f>
        <v>1412</v>
      </c>
      <c r="H259" s="33"/>
      <c r="I259" s="33"/>
      <c r="J259" s="15" t="s">
        <v>27</v>
      </c>
      <c r="K259" s="15"/>
      <c r="L259" s="20" t="s">
        <v>51</v>
      </c>
      <c r="M259" s="46">
        <f>1412</f>
        <v>1412</v>
      </c>
    </row>
    <row r="260" spans="1:13" ht="49.5">
      <c r="A260" s="15">
        <v>250</v>
      </c>
      <c r="B260" s="15" t="s">
        <v>331</v>
      </c>
      <c r="C260" s="15" t="s">
        <v>147</v>
      </c>
      <c r="D260" s="33">
        <v>3282.4</v>
      </c>
      <c r="E260" s="33"/>
      <c r="F260" s="33"/>
      <c r="G260" s="46">
        <f>3282.4</f>
        <v>3282.4</v>
      </c>
      <c r="H260" s="33"/>
      <c r="I260" s="33"/>
      <c r="J260" s="15" t="s">
        <v>27</v>
      </c>
      <c r="K260" s="15"/>
      <c r="L260" s="20" t="s">
        <v>51</v>
      </c>
      <c r="M260" s="46">
        <f>3282.4</f>
        <v>3282.4</v>
      </c>
    </row>
    <row r="261" spans="1:13" ht="63.75">
      <c r="A261" s="15">
        <v>251</v>
      </c>
      <c r="B261" s="15" t="s">
        <v>332</v>
      </c>
      <c r="C261" s="15" t="s">
        <v>333</v>
      </c>
      <c r="D261" s="33">
        <v>144</v>
      </c>
      <c r="E261" s="33"/>
      <c r="F261" s="33"/>
      <c r="G261" s="46">
        <f>144</f>
        <v>144</v>
      </c>
      <c r="H261" s="33"/>
      <c r="I261" s="33"/>
      <c r="J261" s="15" t="s">
        <v>27</v>
      </c>
      <c r="K261" s="15"/>
      <c r="L261" s="20" t="s">
        <v>51</v>
      </c>
      <c r="M261" s="46">
        <f>144</f>
        <v>144</v>
      </c>
    </row>
    <row r="262" spans="1:13" ht="49.5">
      <c r="A262" s="15">
        <v>252</v>
      </c>
      <c r="B262" s="15" t="s">
        <v>334</v>
      </c>
      <c r="C262" s="15" t="s">
        <v>147</v>
      </c>
      <c r="D262" s="33">
        <v>876</v>
      </c>
      <c r="E262" s="33"/>
      <c r="F262" s="33"/>
      <c r="G262" s="46">
        <f>876</f>
        <v>876</v>
      </c>
      <c r="H262" s="33"/>
      <c r="I262" s="33"/>
      <c r="J262" s="15" t="s">
        <v>27</v>
      </c>
      <c r="K262" s="15"/>
      <c r="L262" s="20" t="s">
        <v>51</v>
      </c>
      <c r="M262" s="46">
        <f>876</f>
        <v>876</v>
      </c>
    </row>
    <row r="263" spans="1:13" ht="49.5">
      <c r="A263" s="15">
        <v>253</v>
      </c>
      <c r="B263" s="15" t="s">
        <v>335</v>
      </c>
      <c r="C263" s="15" t="s">
        <v>70</v>
      </c>
      <c r="D263" s="33">
        <v>3971.28</v>
      </c>
      <c r="E263" s="33"/>
      <c r="F263" s="33"/>
      <c r="G263" s="46">
        <f>3971.28</f>
        <v>3971.28</v>
      </c>
      <c r="H263" s="33"/>
      <c r="I263" s="33"/>
      <c r="J263" s="15" t="s">
        <v>27</v>
      </c>
      <c r="K263" s="15"/>
      <c r="L263" s="20" t="s">
        <v>51</v>
      </c>
      <c r="M263" s="46">
        <f>3971.28</f>
        <v>3971.28</v>
      </c>
    </row>
    <row r="264" spans="1:13" ht="51">
      <c r="A264" s="15">
        <v>254</v>
      </c>
      <c r="B264" s="15" t="s">
        <v>336</v>
      </c>
      <c r="C264" s="15" t="s">
        <v>337</v>
      </c>
      <c r="D264" s="33">
        <v>5000</v>
      </c>
      <c r="E264" s="33"/>
      <c r="F264" s="33"/>
      <c r="G264" s="46">
        <f>5000</f>
        <v>5000</v>
      </c>
      <c r="H264" s="33"/>
      <c r="I264" s="33"/>
      <c r="J264" s="15" t="s">
        <v>10</v>
      </c>
      <c r="K264" s="36" t="s">
        <v>338</v>
      </c>
      <c r="L264" s="20" t="s">
        <v>339</v>
      </c>
      <c r="M264" s="46">
        <f>5000</f>
        <v>5000</v>
      </c>
    </row>
    <row r="265" spans="1:13" ht="49.5">
      <c r="A265" s="15">
        <v>255</v>
      </c>
      <c r="B265" s="15" t="s">
        <v>340</v>
      </c>
      <c r="C265" s="15" t="s">
        <v>341</v>
      </c>
      <c r="D265" s="33">
        <v>50</v>
      </c>
      <c r="E265" s="33"/>
      <c r="F265" s="33"/>
      <c r="G265" s="46">
        <f>50</f>
        <v>50</v>
      </c>
      <c r="H265" s="33"/>
      <c r="I265" s="33"/>
      <c r="J265" s="15" t="s">
        <v>27</v>
      </c>
      <c r="K265" s="15"/>
      <c r="L265" s="20" t="s">
        <v>31</v>
      </c>
      <c r="M265" s="46">
        <f>50</f>
        <v>50</v>
      </c>
    </row>
    <row r="266" spans="1:13" ht="49.5">
      <c r="A266" s="15">
        <v>256</v>
      </c>
      <c r="B266" s="15" t="s">
        <v>342</v>
      </c>
      <c r="C266" s="15" t="s">
        <v>343</v>
      </c>
      <c r="D266" s="33">
        <v>500.16</v>
      </c>
      <c r="E266" s="33"/>
      <c r="F266" s="33"/>
      <c r="G266" s="46">
        <f t="shared" ref="G266:G272" si="0">250.08</f>
        <v>250.08</v>
      </c>
      <c r="H266" s="33"/>
      <c r="I266" s="33"/>
      <c r="J266" s="15" t="s">
        <v>27</v>
      </c>
      <c r="K266" s="15"/>
      <c r="L266" s="20" t="s">
        <v>31</v>
      </c>
      <c r="M266" s="46">
        <f t="shared" ref="M266:M272" si="1">250.08</f>
        <v>250.08</v>
      </c>
    </row>
    <row r="267" spans="1:13" ht="49.5">
      <c r="A267" s="15">
        <v>257</v>
      </c>
      <c r="B267" s="15" t="s">
        <v>344</v>
      </c>
      <c r="C267" s="15" t="s">
        <v>343</v>
      </c>
      <c r="D267" s="33">
        <v>500.16</v>
      </c>
      <c r="E267" s="33"/>
      <c r="F267" s="33"/>
      <c r="G267" s="46">
        <f t="shared" si="0"/>
        <v>250.08</v>
      </c>
      <c r="H267" s="33"/>
      <c r="I267" s="33"/>
      <c r="J267" s="15" t="s">
        <v>27</v>
      </c>
      <c r="K267" s="15"/>
      <c r="L267" s="20" t="s">
        <v>31</v>
      </c>
      <c r="M267" s="46">
        <f t="shared" si="1"/>
        <v>250.08</v>
      </c>
    </row>
    <row r="268" spans="1:13" ht="49.5">
      <c r="A268" s="15">
        <v>258</v>
      </c>
      <c r="B268" s="15" t="s">
        <v>345</v>
      </c>
      <c r="C268" s="15" t="s">
        <v>343</v>
      </c>
      <c r="D268" s="33">
        <v>500.16</v>
      </c>
      <c r="E268" s="33"/>
      <c r="F268" s="33"/>
      <c r="G268" s="46">
        <f t="shared" si="0"/>
        <v>250.08</v>
      </c>
      <c r="H268" s="33"/>
      <c r="I268" s="33"/>
      <c r="J268" s="15" t="s">
        <v>27</v>
      </c>
      <c r="K268" s="15"/>
      <c r="L268" s="20" t="s">
        <v>31</v>
      </c>
      <c r="M268" s="46">
        <f t="shared" si="1"/>
        <v>250.08</v>
      </c>
    </row>
    <row r="269" spans="1:13" ht="49.5">
      <c r="A269" s="15">
        <v>259</v>
      </c>
      <c r="B269" s="15" t="s">
        <v>346</v>
      </c>
      <c r="C269" s="15" t="s">
        <v>343</v>
      </c>
      <c r="D269" s="33">
        <v>500.16</v>
      </c>
      <c r="E269" s="33"/>
      <c r="F269" s="33"/>
      <c r="G269" s="46">
        <f t="shared" si="0"/>
        <v>250.08</v>
      </c>
      <c r="H269" s="33"/>
      <c r="I269" s="33"/>
      <c r="J269" s="15" t="s">
        <v>27</v>
      </c>
      <c r="K269" s="15"/>
      <c r="L269" s="20" t="s">
        <v>31</v>
      </c>
      <c r="M269" s="46">
        <f t="shared" si="1"/>
        <v>250.08</v>
      </c>
    </row>
    <row r="270" spans="1:13" ht="49.5">
      <c r="A270" s="15">
        <v>260</v>
      </c>
      <c r="B270" s="15" t="s">
        <v>347</v>
      </c>
      <c r="C270" s="15" t="s">
        <v>343</v>
      </c>
      <c r="D270" s="33">
        <v>500.16</v>
      </c>
      <c r="E270" s="33"/>
      <c r="F270" s="33"/>
      <c r="G270" s="46">
        <f t="shared" si="0"/>
        <v>250.08</v>
      </c>
      <c r="H270" s="33"/>
      <c r="I270" s="33"/>
      <c r="J270" s="15" t="s">
        <v>27</v>
      </c>
      <c r="K270" s="15"/>
      <c r="L270" s="20" t="s">
        <v>31</v>
      </c>
      <c r="M270" s="46">
        <f t="shared" si="1"/>
        <v>250.08</v>
      </c>
    </row>
    <row r="271" spans="1:13" ht="49.5">
      <c r="A271" s="15">
        <v>261</v>
      </c>
      <c r="B271" s="15" t="s">
        <v>348</v>
      </c>
      <c r="C271" s="15" t="s">
        <v>343</v>
      </c>
      <c r="D271" s="33">
        <v>500.16</v>
      </c>
      <c r="E271" s="33"/>
      <c r="F271" s="33"/>
      <c r="G271" s="46">
        <f t="shared" si="0"/>
        <v>250.08</v>
      </c>
      <c r="H271" s="33"/>
      <c r="I271" s="33"/>
      <c r="J271" s="15" t="s">
        <v>27</v>
      </c>
      <c r="K271" s="15"/>
      <c r="L271" s="20" t="s">
        <v>31</v>
      </c>
      <c r="M271" s="46">
        <f t="shared" si="1"/>
        <v>250.08</v>
      </c>
    </row>
    <row r="272" spans="1:13" ht="49.5">
      <c r="A272" s="15">
        <v>262</v>
      </c>
      <c r="B272" s="15" t="s">
        <v>349</v>
      </c>
      <c r="C272" s="15" t="s">
        <v>343</v>
      </c>
      <c r="D272" s="33">
        <v>500.16</v>
      </c>
      <c r="E272" s="33"/>
      <c r="F272" s="33"/>
      <c r="G272" s="46">
        <f t="shared" si="0"/>
        <v>250.08</v>
      </c>
      <c r="H272" s="33"/>
      <c r="I272" s="33"/>
      <c r="J272" s="15" t="s">
        <v>27</v>
      </c>
      <c r="K272" s="15"/>
      <c r="L272" s="20" t="s">
        <v>31</v>
      </c>
      <c r="M272" s="46">
        <f t="shared" si="1"/>
        <v>250.08</v>
      </c>
    </row>
    <row r="273" spans="1:13" ht="49.5">
      <c r="A273" s="15">
        <v>263</v>
      </c>
      <c r="B273" s="15" t="s">
        <v>135</v>
      </c>
      <c r="C273" s="15" t="s">
        <v>89</v>
      </c>
      <c r="D273" s="33">
        <v>25.98</v>
      </c>
      <c r="E273" s="33"/>
      <c r="F273" s="33"/>
      <c r="G273" s="46">
        <f>25.98</f>
        <v>25.98</v>
      </c>
      <c r="H273" s="33"/>
      <c r="I273" s="33"/>
      <c r="J273" s="15" t="s">
        <v>27</v>
      </c>
      <c r="K273" s="15"/>
      <c r="L273" s="20" t="s">
        <v>31</v>
      </c>
      <c r="M273" s="46">
        <f>25.98</f>
        <v>25.98</v>
      </c>
    </row>
    <row r="274" spans="1:13" ht="49.5">
      <c r="A274" s="15">
        <v>264</v>
      </c>
      <c r="B274" s="15" t="s">
        <v>276</v>
      </c>
      <c r="C274" s="15" t="s">
        <v>350</v>
      </c>
      <c r="D274" s="33">
        <v>10</v>
      </c>
      <c r="E274" s="33"/>
      <c r="F274" s="33"/>
      <c r="G274" s="46">
        <f>10</f>
        <v>10</v>
      </c>
      <c r="H274" s="33"/>
      <c r="I274" s="33"/>
      <c r="J274" s="15" t="s">
        <v>27</v>
      </c>
      <c r="K274" s="15"/>
      <c r="L274" s="20" t="s">
        <v>31</v>
      </c>
      <c r="M274" s="46">
        <f>10</f>
        <v>10</v>
      </c>
    </row>
    <row r="275" spans="1:13" ht="49.5">
      <c r="A275" s="15">
        <v>265</v>
      </c>
      <c r="B275" s="15" t="s">
        <v>351</v>
      </c>
      <c r="C275" s="15" t="s">
        <v>352</v>
      </c>
      <c r="D275" s="33">
        <v>48</v>
      </c>
      <c r="E275" s="33"/>
      <c r="F275" s="33"/>
      <c r="G275" s="46">
        <f>48</f>
        <v>48</v>
      </c>
      <c r="H275" s="33"/>
      <c r="I275" s="33"/>
      <c r="J275" s="15" t="s">
        <v>27</v>
      </c>
      <c r="K275" s="15"/>
      <c r="L275" s="20" t="s">
        <v>31</v>
      </c>
      <c r="M275" s="46">
        <f>48</f>
        <v>48</v>
      </c>
    </row>
    <row r="276" spans="1:13" ht="49.5">
      <c r="A276" s="15">
        <v>266</v>
      </c>
      <c r="B276" s="15" t="s">
        <v>353</v>
      </c>
      <c r="C276" s="15" t="s">
        <v>343</v>
      </c>
      <c r="D276" s="33">
        <v>500.16</v>
      </c>
      <c r="E276" s="33"/>
      <c r="F276" s="33"/>
      <c r="G276" s="46">
        <v>250.08</v>
      </c>
      <c r="H276" s="33"/>
      <c r="I276" s="33"/>
      <c r="J276" s="15" t="s">
        <v>27</v>
      </c>
      <c r="K276" s="15"/>
      <c r="L276" s="20" t="s">
        <v>31</v>
      </c>
      <c r="M276" s="46">
        <v>250.08</v>
      </c>
    </row>
    <row r="277" spans="1:13" ht="49.5">
      <c r="A277" s="15">
        <v>267</v>
      </c>
      <c r="B277" s="15" t="s">
        <v>354</v>
      </c>
      <c r="C277" s="15" t="s">
        <v>355</v>
      </c>
      <c r="D277" s="33">
        <v>2085</v>
      </c>
      <c r="E277" s="33"/>
      <c r="F277" s="33"/>
      <c r="G277" s="46">
        <f>2085</f>
        <v>2085</v>
      </c>
      <c r="H277" s="33"/>
      <c r="I277" s="33"/>
      <c r="J277" s="15" t="s">
        <v>27</v>
      </c>
      <c r="K277" s="15"/>
      <c r="L277" s="20" t="s">
        <v>31</v>
      </c>
      <c r="M277" s="46">
        <f>2085</f>
        <v>2085</v>
      </c>
    </row>
    <row r="278" spans="1:13" ht="49.5">
      <c r="A278" s="15">
        <v>268</v>
      </c>
      <c r="B278" s="15" t="s">
        <v>135</v>
      </c>
      <c r="C278" s="15" t="s">
        <v>356</v>
      </c>
      <c r="D278" s="33">
        <v>16</v>
      </c>
      <c r="E278" s="33"/>
      <c r="F278" s="33"/>
      <c r="G278" s="46">
        <f>16</f>
        <v>16</v>
      </c>
      <c r="H278" s="33"/>
      <c r="I278" s="33"/>
      <c r="J278" s="15" t="s">
        <v>27</v>
      </c>
      <c r="K278" s="15"/>
      <c r="L278" s="20" t="s">
        <v>31</v>
      </c>
      <c r="M278" s="46">
        <f>16</f>
        <v>16</v>
      </c>
    </row>
    <row r="279" spans="1:13" ht="49.5">
      <c r="A279" s="15">
        <v>269</v>
      </c>
      <c r="B279" s="15" t="s">
        <v>357</v>
      </c>
      <c r="C279" s="15" t="s">
        <v>147</v>
      </c>
      <c r="D279" s="33">
        <v>7470</v>
      </c>
      <c r="E279" s="33"/>
      <c r="F279" s="33"/>
      <c r="G279" s="46">
        <f>7470</f>
        <v>7470</v>
      </c>
      <c r="H279" s="33"/>
      <c r="I279" s="33"/>
      <c r="J279" s="15" t="s">
        <v>27</v>
      </c>
      <c r="K279" s="15"/>
      <c r="L279" s="20" t="s">
        <v>51</v>
      </c>
      <c r="M279" s="46">
        <f>7470</f>
        <v>7470</v>
      </c>
    </row>
    <row r="280" spans="1:13" ht="49.5">
      <c r="A280" s="15">
        <v>270</v>
      </c>
      <c r="B280" s="15" t="s">
        <v>357</v>
      </c>
      <c r="C280" s="15" t="s">
        <v>50</v>
      </c>
      <c r="D280" s="33">
        <v>1750</v>
      </c>
      <c r="E280" s="33"/>
      <c r="F280" s="33"/>
      <c r="G280" s="46">
        <f>1750</f>
        <v>1750</v>
      </c>
      <c r="H280" s="33"/>
      <c r="I280" s="33"/>
      <c r="J280" s="15" t="s">
        <v>27</v>
      </c>
      <c r="K280" s="15"/>
      <c r="L280" s="20" t="s">
        <v>51</v>
      </c>
      <c r="M280" s="46">
        <f>1750</f>
        <v>1750</v>
      </c>
    </row>
    <row r="281" spans="1:13" ht="49.5">
      <c r="A281" s="15">
        <v>271</v>
      </c>
      <c r="B281" s="15" t="s">
        <v>286</v>
      </c>
      <c r="C281" s="15" t="s">
        <v>72</v>
      </c>
      <c r="D281" s="33">
        <v>409.31</v>
      </c>
      <c r="E281" s="33"/>
      <c r="F281" s="33"/>
      <c r="G281" s="46">
        <f>409.31</f>
        <v>409.31</v>
      </c>
      <c r="H281" s="33"/>
      <c r="I281" s="33"/>
      <c r="J281" s="15" t="s">
        <v>27</v>
      </c>
      <c r="K281" s="15"/>
      <c r="L281" s="20" t="s">
        <v>51</v>
      </c>
      <c r="M281" s="46">
        <f>409.31</f>
        <v>409.31</v>
      </c>
    </row>
    <row r="282" spans="1:13" ht="49.5">
      <c r="A282" s="15">
        <v>272</v>
      </c>
      <c r="B282" s="15" t="s">
        <v>358</v>
      </c>
      <c r="C282" s="15" t="s">
        <v>77</v>
      </c>
      <c r="D282" s="33">
        <v>899</v>
      </c>
      <c r="E282" s="33"/>
      <c r="F282" s="33"/>
      <c r="G282" s="46">
        <f>899</f>
        <v>899</v>
      </c>
      <c r="H282" s="33"/>
      <c r="I282" s="33"/>
      <c r="J282" s="15" t="s">
        <v>27</v>
      </c>
      <c r="K282" s="15"/>
      <c r="L282" s="20" t="s">
        <v>51</v>
      </c>
      <c r="M282" s="46">
        <f>899</f>
        <v>899</v>
      </c>
    </row>
    <row r="283" spans="1:13" ht="49.5">
      <c r="A283" s="15">
        <v>273</v>
      </c>
      <c r="B283" s="39" t="s">
        <v>359</v>
      </c>
      <c r="C283" s="15" t="s">
        <v>360</v>
      </c>
      <c r="D283" s="33">
        <v>2642.88</v>
      </c>
      <c r="E283" s="33"/>
      <c r="F283" s="33"/>
      <c r="G283" s="46">
        <f>2642.88</f>
        <v>2642.88</v>
      </c>
      <c r="H283" s="33"/>
      <c r="I283" s="33"/>
      <c r="J283" s="15" t="s">
        <v>27</v>
      </c>
      <c r="K283" s="15"/>
      <c r="L283" s="20" t="s">
        <v>31</v>
      </c>
      <c r="M283" s="46">
        <f>2642.88</f>
        <v>2642.88</v>
      </c>
    </row>
    <row r="284" spans="1:13" ht="49.5">
      <c r="A284" s="15">
        <v>274</v>
      </c>
      <c r="B284" s="15" t="s">
        <v>324</v>
      </c>
      <c r="C284" s="15" t="s">
        <v>70</v>
      </c>
      <c r="D284" s="33">
        <v>1851.28</v>
      </c>
      <c r="E284" s="33"/>
      <c r="F284" s="33"/>
      <c r="G284" s="46">
        <f>1851.28</f>
        <v>1851.28</v>
      </c>
      <c r="H284" s="33"/>
      <c r="I284" s="33"/>
      <c r="J284" s="15" t="s">
        <v>27</v>
      </c>
      <c r="K284" s="15"/>
      <c r="L284" s="20" t="s">
        <v>51</v>
      </c>
      <c r="M284" s="46">
        <f>1851.28</f>
        <v>1851.28</v>
      </c>
    </row>
    <row r="285" spans="1:13" ht="49.5">
      <c r="A285" s="15">
        <v>275</v>
      </c>
      <c r="B285" s="15" t="s">
        <v>324</v>
      </c>
      <c r="C285" s="15" t="s">
        <v>72</v>
      </c>
      <c r="D285" s="33">
        <v>600</v>
      </c>
      <c r="E285" s="33"/>
      <c r="F285" s="33"/>
      <c r="G285" s="46">
        <f>564.75</f>
        <v>564.75</v>
      </c>
      <c r="H285" s="33"/>
      <c r="I285" s="33"/>
      <c r="J285" s="15" t="s">
        <v>27</v>
      </c>
      <c r="K285" s="15"/>
      <c r="L285" s="20" t="s">
        <v>51</v>
      </c>
      <c r="M285" s="46">
        <f>564.75</f>
        <v>564.75</v>
      </c>
    </row>
    <row r="286" spans="1:13" ht="49.5">
      <c r="A286" s="47">
        <v>276</v>
      </c>
      <c r="B286" s="15" t="s">
        <v>361</v>
      </c>
      <c r="C286" s="15" t="s">
        <v>72</v>
      </c>
      <c r="D286" s="33">
        <v>5000</v>
      </c>
      <c r="E286" s="33"/>
      <c r="F286" s="33"/>
      <c r="G286" s="46" t="s">
        <v>406</v>
      </c>
      <c r="H286" s="33"/>
      <c r="I286" s="33"/>
      <c r="J286" s="15" t="s">
        <v>27</v>
      </c>
      <c r="K286" s="15"/>
      <c r="L286" s="20" t="s">
        <v>51</v>
      </c>
      <c r="M286" s="46" t="s">
        <v>406</v>
      </c>
    </row>
    <row r="287" spans="1:13" ht="49.5">
      <c r="A287" s="15">
        <v>277</v>
      </c>
      <c r="B287" s="15" t="s">
        <v>362</v>
      </c>
      <c r="C287" s="15" t="s">
        <v>70</v>
      </c>
      <c r="D287" s="33">
        <v>720</v>
      </c>
      <c r="E287" s="33"/>
      <c r="F287" s="33"/>
      <c r="G287" s="46">
        <f>720</f>
        <v>720</v>
      </c>
      <c r="H287" s="33"/>
      <c r="I287" s="33"/>
      <c r="J287" s="15" t="s">
        <v>27</v>
      </c>
      <c r="K287" s="15"/>
      <c r="L287" s="20" t="s">
        <v>51</v>
      </c>
      <c r="M287" s="46">
        <f>720</f>
        <v>720</v>
      </c>
    </row>
    <row r="288" spans="1:13" ht="49.5">
      <c r="A288" s="15">
        <v>278</v>
      </c>
      <c r="B288" s="15" t="s">
        <v>362</v>
      </c>
      <c r="C288" s="15" t="s">
        <v>72</v>
      </c>
      <c r="D288" s="33">
        <v>450</v>
      </c>
      <c r="E288" s="33"/>
      <c r="F288" s="33"/>
      <c r="G288" s="46">
        <f>450</f>
        <v>450</v>
      </c>
      <c r="H288" s="33"/>
      <c r="I288" s="33"/>
      <c r="J288" s="15" t="s">
        <v>27</v>
      </c>
      <c r="K288" s="15"/>
      <c r="L288" s="20" t="s">
        <v>51</v>
      </c>
      <c r="M288" s="46">
        <f>450</f>
        <v>450</v>
      </c>
    </row>
    <row r="289" spans="1:13" ht="108">
      <c r="A289" s="15">
        <v>279</v>
      </c>
      <c r="B289" s="15" t="s">
        <v>112</v>
      </c>
      <c r="C289" s="15" t="s">
        <v>150</v>
      </c>
      <c r="D289" s="33">
        <v>32427.360000000001</v>
      </c>
      <c r="E289" s="33"/>
      <c r="F289" s="33"/>
      <c r="G289" s="46">
        <f>32427.36</f>
        <v>32427.360000000001</v>
      </c>
      <c r="H289" s="33"/>
      <c r="I289" s="33"/>
      <c r="J289" s="15" t="s">
        <v>27</v>
      </c>
      <c r="K289" s="15"/>
      <c r="L289" s="21" t="s">
        <v>363</v>
      </c>
      <c r="M289" s="46">
        <f>32427.36</f>
        <v>32427.360000000001</v>
      </c>
    </row>
    <row r="290" spans="1:13" ht="49.5">
      <c r="A290" s="47">
        <v>280</v>
      </c>
      <c r="B290" s="15" t="s">
        <v>364</v>
      </c>
      <c r="C290" s="15" t="s">
        <v>365</v>
      </c>
      <c r="D290" s="33">
        <v>4150</v>
      </c>
      <c r="E290" s="33"/>
      <c r="F290" s="33"/>
      <c r="G290" s="46" t="s">
        <v>406</v>
      </c>
      <c r="H290" s="33"/>
      <c r="I290" s="33"/>
      <c r="J290" s="15" t="s">
        <v>27</v>
      </c>
      <c r="K290" s="15"/>
      <c r="L290" s="20" t="s">
        <v>31</v>
      </c>
      <c r="M290" s="46" t="s">
        <v>406</v>
      </c>
    </row>
    <row r="291" spans="1:13">
      <c r="A291" s="15">
        <v>281</v>
      </c>
      <c r="B291" s="15" t="s">
        <v>366</v>
      </c>
      <c r="C291" s="15" t="s">
        <v>367</v>
      </c>
      <c r="D291" s="33">
        <v>12200</v>
      </c>
      <c r="E291" s="33"/>
      <c r="F291" s="33"/>
      <c r="G291" s="46">
        <f>12200</f>
        <v>12200</v>
      </c>
      <c r="H291" s="33"/>
      <c r="I291" s="33"/>
      <c r="J291" s="15" t="s">
        <v>10</v>
      </c>
      <c r="K291" s="40" t="s">
        <v>368</v>
      </c>
      <c r="L291" s="16"/>
      <c r="M291" s="46">
        <f>12200</f>
        <v>12200</v>
      </c>
    </row>
    <row r="292" spans="1:13" ht="49.5">
      <c r="A292" s="15">
        <v>282</v>
      </c>
      <c r="B292" s="15" t="s">
        <v>369</v>
      </c>
      <c r="C292" s="15" t="s">
        <v>77</v>
      </c>
      <c r="D292" s="33">
        <v>1944</v>
      </c>
      <c r="E292" s="33"/>
      <c r="F292" s="33"/>
      <c r="G292" s="46">
        <f>1944</f>
        <v>1944</v>
      </c>
      <c r="H292" s="33"/>
      <c r="I292" s="33"/>
      <c r="J292" s="15" t="s">
        <v>27</v>
      </c>
      <c r="K292" s="15"/>
      <c r="L292" s="20" t="s">
        <v>51</v>
      </c>
      <c r="M292" s="46">
        <f>1944</f>
        <v>1944</v>
      </c>
    </row>
    <row r="293" spans="1:13" ht="49.5">
      <c r="A293" s="15">
        <v>283</v>
      </c>
      <c r="B293" s="15" t="s">
        <v>323</v>
      </c>
      <c r="C293" s="15" t="s">
        <v>50</v>
      </c>
      <c r="D293" s="33">
        <v>2714</v>
      </c>
      <c r="E293" s="33"/>
      <c r="F293" s="33"/>
      <c r="G293" s="46">
        <f>2714</f>
        <v>2714</v>
      </c>
      <c r="H293" s="33"/>
      <c r="I293" s="33"/>
      <c r="J293" s="15" t="s">
        <v>27</v>
      </c>
      <c r="K293" s="15"/>
      <c r="L293" s="20" t="s">
        <v>51</v>
      </c>
      <c r="M293" s="46">
        <f>2714</f>
        <v>2714</v>
      </c>
    </row>
    <row r="294" spans="1:13" ht="49.5">
      <c r="A294" s="15">
        <v>284</v>
      </c>
      <c r="B294" s="15" t="s">
        <v>370</v>
      </c>
      <c r="C294" s="15" t="s">
        <v>371</v>
      </c>
      <c r="D294" s="33">
        <v>90</v>
      </c>
      <c r="E294" s="33"/>
      <c r="F294" s="33"/>
      <c r="G294" s="46">
        <f>90</f>
        <v>90</v>
      </c>
      <c r="H294" s="33"/>
      <c r="I294" s="33"/>
      <c r="J294" s="15" t="s">
        <v>27</v>
      </c>
      <c r="K294" s="15"/>
      <c r="L294" s="20" t="s">
        <v>31</v>
      </c>
      <c r="M294" s="46">
        <f>90</f>
        <v>90</v>
      </c>
    </row>
    <row r="295" spans="1:13" ht="108">
      <c r="A295" s="15">
        <v>285</v>
      </c>
      <c r="B295" s="41" t="s">
        <v>112</v>
      </c>
      <c r="C295" s="15" t="s">
        <v>142</v>
      </c>
      <c r="D295" s="33">
        <v>225.19</v>
      </c>
      <c r="E295" s="33"/>
      <c r="F295" s="33"/>
      <c r="G295" s="46">
        <f>225.19</f>
        <v>225.19</v>
      </c>
      <c r="H295" s="33"/>
      <c r="I295" s="33"/>
      <c r="J295" s="15" t="s">
        <v>27</v>
      </c>
      <c r="K295" s="15"/>
      <c r="L295" s="21" t="s">
        <v>372</v>
      </c>
      <c r="M295" s="46">
        <f>225.19</f>
        <v>225.19</v>
      </c>
    </row>
    <row r="296" spans="1:13" ht="25.5">
      <c r="A296" s="15">
        <v>286</v>
      </c>
      <c r="B296" s="15" t="s">
        <v>373</v>
      </c>
      <c r="C296" s="15" t="s">
        <v>96</v>
      </c>
      <c r="D296" s="33">
        <v>17998</v>
      </c>
      <c r="E296" s="33"/>
      <c r="F296" s="33"/>
      <c r="G296" s="46">
        <f>17998</f>
        <v>17998</v>
      </c>
      <c r="H296" s="33"/>
      <c r="I296" s="33"/>
      <c r="J296" s="15" t="s">
        <v>97</v>
      </c>
      <c r="K296" s="15" t="s">
        <v>374</v>
      </c>
      <c r="L296" s="16"/>
      <c r="M296" s="46">
        <f>17998</f>
        <v>17998</v>
      </c>
    </row>
    <row r="297" spans="1:13" ht="48.75">
      <c r="A297" s="15">
        <v>287</v>
      </c>
      <c r="B297" s="15" t="s">
        <v>375</v>
      </c>
      <c r="C297" s="15" t="s">
        <v>72</v>
      </c>
      <c r="D297" s="33">
        <v>280</v>
      </c>
      <c r="E297" s="33"/>
      <c r="F297" s="33"/>
      <c r="G297" s="46">
        <f>279.66</f>
        <v>279.66000000000003</v>
      </c>
      <c r="H297" s="33"/>
      <c r="I297" s="33"/>
      <c r="J297" s="15" t="s">
        <v>27</v>
      </c>
      <c r="K297" s="15"/>
      <c r="L297" s="20" t="s">
        <v>125</v>
      </c>
      <c r="M297" s="46">
        <f>279.66</f>
        <v>279.66000000000003</v>
      </c>
    </row>
    <row r="298" spans="1:13" ht="48.75">
      <c r="A298" s="15">
        <v>289</v>
      </c>
      <c r="B298" s="15" t="s">
        <v>376</v>
      </c>
      <c r="C298" s="15" t="s">
        <v>72</v>
      </c>
      <c r="D298" s="33">
        <v>210</v>
      </c>
      <c r="E298" s="33"/>
      <c r="F298" s="33"/>
      <c r="G298" s="46">
        <f>210</f>
        <v>210</v>
      </c>
      <c r="H298" s="33"/>
      <c r="I298" s="33"/>
      <c r="J298" s="15" t="s">
        <v>27</v>
      </c>
      <c r="K298" s="15"/>
      <c r="L298" s="20" t="s">
        <v>125</v>
      </c>
      <c r="M298" s="46">
        <f>210</f>
        <v>210</v>
      </c>
    </row>
    <row r="299" spans="1:13" ht="48.75">
      <c r="A299" s="15">
        <v>290</v>
      </c>
      <c r="B299" s="15" t="s">
        <v>324</v>
      </c>
      <c r="C299" s="15" t="s">
        <v>72</v>
      </c>
      <c r="D299" s="33">
        <v>490</v>
      </c>
      <c r="E299" s="33"/>
      <c r="F299" s="33"/>
      <c r="G299" s="46">
        <f>433.77</f>
        <v>433.77</v>
      </c>
      <c r="H299" s="33"/>
      <c r="I299" s="33"/>
      <c r="J299" s="15" t="s">
        <v>27</v>
      </c>
      <c r="K299" s="15"/>
      <c r="L299" s="20" t="s">
        <v>125</v>
      </c>
      <c r="M299" s="46">
        <f>433.77</f>
        <v>433.77</v>
      </c>
    </row>
    <row r="300" spans="1:13" ht="48.75">
      <c r="A300" s="15">
        <v>291</v>
      </c>
      <c r="B300" s="15" t="s">
        <v>303</v>
      </c>
      <c r="C300" s="15" t="s">
        <v>72</v>
      </c>
      <c r="D300" s="33">
        <v>280</v>
      </c>
      <c r="E300" s="33"/>
      <c r="F300" s="33"/>
      <c r="G300" s="46">
        <f>268</f>
        <v>268</v>
      </c>
      <c r="H300" s="33"/>
      <c r="I300" s="33"/>
      <c r="J300" s="15" t="s">
        <v>27</v>
      </c>
      <c r="K300" s="15"/>
      <c r="L300" s="20" t="s">
        <v>125</v>
      </c>
      <c r="M300" s="46">
        <f>268</f>
        <v>268</v>
      </c>
    </row>
    <row r="301" spans="1:13" ht="48.75">
      <c r="A301" s="15">
        <v>292</v>
      </c>
      <c r="B301" s="15" t="s">
        <v>377</v>
      </c>
      <c r="C301" s="15" t="s">
        <v>50</v>
      </c>
      <c r="D301" s="33">
        <v>2200</v>
      </c>
      <c r="E301" s="33"/>
      <c r="F301" s="33"/>
      <c r="G301" s="46">
        <f>2200</f>
        <v>2200</v>
      </c>
      <c r="H301" s="33"/>
      <c r="I301" s="33"/>
      <c r="J301" s="15" t="s">
        <v>27</v>
      </c>
      <c r="K301" s="15"/>
      <c r="L301" s="20" t="s">
        <v>125</v>
      </c>
      <c r="M301" s="46">
        <f>2200</f>
        <v>2200</v>
      </c>
    </row>
    <row r="302" spans="1:13" ht="48.75">
      <c r="A302" s="15">
        <v>293</v>
      </c>
      <c r="B302" s="15" t="s">
        <v>357</v>
      </c>
      <c r="C302" s="15" t="s">
        <v>77</v>
      </c>
      <c r="D302" s="33">
        <v>1000</v>
      </c>
      <c r="E302" s="33"/>
      <c r="F302" s="33"/>
      <c r="G302" s="46">
        <f>1000</f>
        <v>1000</v>
      </c>
      <c r="H302" s="33"/>
      <c r="I302" s="33"/>
      <c r="J302" s="15" t="s">
        <v>27</v>
      </c>
      <c r="K302" s="15"/>
      <c r="L302" s="20" t="s">
        <v>125</v>
      </c>
      <c r="M302" s="46">
        <f>1000</f>
        <v>1000</v>
      </c>
    </row>
    <row r="303" spans="1:13" ht="48.75">
      <c r="A303" s="15">
        <v>294</v>
      </c>
      <c r="B303" s="15" t="s">
        <v>378</v>
      </c>
      <c r="C303" s="15" t="s">
        <v>72</v>
      </c>
      <c r="D303" s="33">
        <v>2966.71</v>
      </c>
      <c r="E303" s="33"/>
      <c r="F303" s="33"/>
      <c r="G303" s="46">
        <f>2966.71</f>
        <v>2966.71</v>
      </c>
      <c r="H303" s="33"/>
      <c r="I303" s="33"/>
      <c r="J303" s="15" t="s">
        <v>27</v>
      </c>
      <c r="K303" s="15"/>
      <c r="L303" s="20" t="s">
        <v>125</v>
      </c>
      <c r="M303" s="46">
        <f>2966.71</f>
        <v>2966.71</v>
      </c>
    </row>
    <row r="304" spans="1:13" ht="38.25">
      <c r="A304" s="47">
        <v>295</v>
      </c>
      <c r="B304" s="15" t="s">
        <v>379</v>
      </c>
      <c r="C304" s="15" t="s">
        <v>380</v>
      </c>
      <c r="D304" s="33">
        <v>13000</v>
      </c>
      <c r="E304" s="33"/>
      <c r="F304" s="33"/>
      <c r="G304" s="46" t="s">
        <v>406</v>
      </c>
      <c r="H304" s="33"/>
      <c r="I304" s="33"/>
      <c r="J304" s="15" t="s">
        <v>10</v>
      </c>
      <c r="K304" s="22" t="s">
        <v>381</v>
      </c>
      <c r="L304" s="16"/>
      <c r="M304" s="46" t="s">
        <v>406</v>
      </c>
    </row>
    <row r="305" spans="1:13" ht="49.5">
      <c r="A305" s="47">
        <v>296</v>
      </c>
      <c r="B305" s="15" t="s">
        <v>382</v>
      </c>
      <c r="C305" s="15" t="s">
        <v>383</v>
      </c>
      <c r="D305" s="33">
        <v>4990</v>
      </c>
      <c r="E305" s="33"/>
      <c r="F305" s="33"/>
      <c r="G305" s="46" t="s">
        <v>406</v>
      </c>
      <c r="H305" s="33"/>
      <c r="I305" s="33"/>
      <c r="J305" s="15" t="s">
        <v>27</v>
      </c>
      <c r="K305" s="15"/>
      <c r="L305" s="20" t="s">
        <v>31</v>
      </c>
      <c r="M305" s="46" t="s">
        <v>406</v>
      </c>
    </row>
    <row r="306" spans="1:13" ht="48.75">
      <c r="A306" s="47">
        <v>297</v>
      </c>
      <c r="B306" s="15" t="s">
        <v>327</v>
      </c>
      <c r="C306" s="15" t="s">
        <v>72</v>
      </c>
      <c r="D306" s="33">
        <v>1500</v>
      </c>
      <c r="E306" s="33"/>
      <c r="F306" s="33"/>
      <c r="G306" s="46" t="s">
        <v>406</v>
      </c>
      <c r="H306" s="33"/>
      <c r="I306" s="33"/>
      <c r="J306" s="15" t="s">
        <v>27</v>
      </c>
      <c r="K306" s="15"/>
      <c r="L306" s="20" t="s">
        <v>125</v>
      </c>
      <c r="M306" s="46" t="s">
        <v>406</v>
      </c>
    </row>
    <row r="307" spans="1:13" ht="48.75">
      <c r="A307" s="15">
        <v>298</v>
      </c>
      <c r="B307" s="15" t="s">
        <v>327</v>
      </c>
      <c r="C307" s="15" t="s">
        <v>70</v>
      </c>
      <c r="D307" s="33">
        <v>1440</v>
      </c>
      <c r="E307" s="33"/>
      <c r="F307" s="33"/>
      <c r="G307" s="46">
        <f>1440</f>
        <v>1440</v>
      </c>
      <c r="H307" s="33"/>
      <c r="I307" s="33"/>
      <c r="J307" s="15" t="s">
        <v>27</v>
      </c>
      <c r="K307" s="15"/>
      <c r="L307" s="20" t="s">
        <v>125</v>
      </c>
      <c r="M307" s="46">
        <f>1440</f>
        <v>1440</v>
      </c>
    </row>
    <row r="308" spans="1:13" ht="48.75">
      <c r="A308" s="47">
        <v>299</v>
      </c>
      <c r="B308" s="15" t="s">
        <v>384</v>
      </c>
      <c r="C308" s="15" t="s">
        <v>70</v>
      </c>
      <c r="D308" s="33">
        <v>2100</v>
      </c>
      <c r="E308" s="33"/>
      <c r="F308" s="33"/>
      <c r="G308" s="46" t="s">
        <v>406</v>
      </c>
      <c r="H308" s="33"/>
      <c r="I308" s="33"/>
      <c r="J308" s="15" t="s">
        <v>27</v>
      </c>
      <c r="K308" s="15"/>
      <c r="L308" s="20" t="s">
        <v>125</v>
      </c>
      <c r="M308" s="46" t="s">
        <v>406</v>
      </c>
    </row>
    <row r="309" spans="1:13" ht="48.75">
      <c r="A309" s="47">
        <v>300</v>
      </c>
      <c r="B309" s="15" t="s">
        <v>385</v>
      </c>
      <c r="C309" s="15" t="s">
        <v>72</v>
      </c>
      <c r="D309" s="33">
        <v>450</v>
      </c>
      <c r="E309" s="33"/>
      <c r="F309" s="33"/>
      <c r="G309" s="46" t="s">
        <v>406</v>
      </c>
      <c r="H309" s="33"/>
      <c r="I309" s="33"/>
      <c r="J309" s="15" t="s">
        <v>27</v>
      </c>
      <c r="K309" s="15"/>
      <c r="L309" s="20" t="s">
        <v>125</v>
      </c>
      <c r="M309" s="46" t="s">
        <v>406</v>
      </c>
    </row>
    <row r="310" spans="1:13" ht="48.75">
      <c r="A310" s="47">
        <v>301</v>
      </c>
      <c r="B310" s="15" t="s">
        <v>286</v>
      </c>
      <c r="C310" s="15" t="s">
        <v>72</v>
      </c>
      <c r="D310" s="33">
        <v>1200</v>
      </c>
      <c r="E310" s="33"/>
      <c r="F310" s="33"/>
      <c r="G310" s="46" t="s">
        <v>406</v>
      </c>
      <c r="H310" s="33"/>
      <c r="I310" s="33"/>
      <c r="J310" s="15" t="s">
        <v>27</v>
      </c>
      <c r="K310" s="15"/>
      <c r="L310" s="20" t="s">
        <v>125</v>
      </c>
      <c r="M310" s="46" t="s">
        <v>406</v>
      </c>
    </row>
    <row r="311" spans="1:13" ht="48.75">
      <c r="A311" s="47">
        <v>302</v>
      </c>
      <c r="B311" s="15" t="s">
        <v>386</v>
      </c>
      <c r="C311" s="15" t="s">
        <v>70</v>
      </c>
      <c r="D311" s="33">
        <v>14433.3</v>
      </c>
      <c r="E311" s="33"/>
      <c r="F311" s="33"/>
      <c r="G311" s="46" t="s">
        <v>406</v>
      </c>
      <c r="H311" s="33"/>
      <c r="I311" s="33"/>
      <c r="J311" s="15" t="s">
        <v>27</v>
      </c>
      <c r="K311" s="15"/>
      <c r="L311" s="20" t="s">
        <v>125</v>
      </c>
      <c r="M311" s="46" t="s">
        <v>406</v>
      </c>
    </row>
    <row r="312" spans="1:13" ht="48.75">
      <c r="A312" s="15">
        <v>303</v>
      </c>
      <c r="B312" s="15" t="s">
        <v>387</v>
      </c>
      <c r="C312" s="15" t="s">
        <v>50</v>
      </c>
      <c r="D312" s="33">
        <v>2200</v>
      </c>
      <c r="E312" s="33"/>
      <c r="F312" s="33"/>
      <c r="G312" s="46">
        <f>2200</f>
        <v>2200</v>
      </c>
      <c r="H312" s="33"/>
      <c r="I312" s="33"/>
      <c r="J312" s="15" t="s">
        <v>27</v>
      </c>
      <c r="K312" s="15"/>
      <c r="L312" s="20" t="s">
        <v>125</v>
      </c>
      <c r="M312" s="46">
        <f>2200</f>
        <v>2200</v>
      </c>
    </row>
    <row r="313" spans="1:13" ht="48.75">
      <c r="A313" s="15">
        <v>304</v>
      </c>
      <c r="B313" s="15" t="s">
        <v>388</v>
      </c>
      <c r="C313" s="15" t="s">
        <v>77</v>
      </c>
      <c r="D313" s="33">
        <v>996</v>
      </c>
      <c r="E313" s="33"/>
      <c r="F313" s="33"/>
      <c r="G313" s="46">
        <f>996</f>
        <v>996</v>
      </c>
      <c r="H313" s="33"/>
      <c r="I313" s="33"/>
      <c r="J313" s="15" t="s">
        <v>27</v>
      </c>
      <c r="K313" s="15"/>
      <c r="L313" s="20" t="s">
        <v>125</v>
      </c>
      <c r="M313" s="46">
        <f>996</f>
        <v>996</v>
      </c>
    </row>
    <row r="314" spans="1:13" ht="48.75">
      <c r="A314" s="15">
        <v>305</v>
      </c>
      <c r="B314" s="15" t="s">
        <v>375</v>
      </c>
      <c r="C314" s="15" t="s">
        <v>72</v>
      </c>
      <c r="D314" s="33">
        <v>598.26</v>
      </c>
      <c r="E314" s="33"/>
      <c r="F314" s="33"/>
      <c r="G314" s="46">
        <f>598.26</f>
        <v>598.26</v>
      </c>
      <c r="H314" s="33"/>
      <c r="I314" s="33"/>
      <c r="J314" s="15" t="s">
        <v>27</v>
      </c>
      <c r="K314" s="15"/>
      <c r="L314" s="20" t="s">
        <v>125</v>
      </c>
      <c r="M314" s="46">
        <f>598.26</f>
        <v>598.26</v>
      </c>
    </row>
    <row r="315" spans="1:13" ht="48.75">
      <c r="A315" s="47">
        <v>306</v>
      </c>
      <c r="B315" s="15" t="s">
        <v>389</v>
      </c>
      <c r="C315" s="15" t="s">
        <v>72</v>
      </c>
      <c r="D315" s="33">
        <v>1881.4</v>
      </c>
      <c r="E315" s="33"/>
      <c r="F315" s="33"/>
      <c r="G315" s="46" t="s">
        <v>406</v>
      </c>
      <c r="H315" s="33"/>
      <c r="I315" s="33"/>
      <c r="J315" s="15" t="s">
        <v>27</v>
      </c>
      <c r="K315" s="15"/>
      <c r="L315" s="20" t="s">
        <v>125</v>
      </c>
      <c r="M315" s="46" t="s">
        <v>406</v>
      </c>
    </row>
    <row r="316" spans="1:13" ht="48.75">
      <c r="A316" s="47">
        <v>307</v>
      </c>
      <c r="B316" s="15" t="s">
        <v>390</v>
      </c>
      <c r="C316" s="15" t="s">
        <v>391</v>
      </c>
      <c r="D316" s="33">
        <v>876.17</v>
      </c>
      <c r="E316" s="33"/>
      <c r="F316" s="33"/>
      <c r="G316" s="46" t="s">
        <v>406</v>
      </c>
      <c r="H316" s="33"/>
      <c r="I316" s="33"/>
      <c r="J316" s="15" t="s">
        <v>27</v>
      </c>
      <c r="K316" s="15"/>
      <c r="L316" s="20" t="s">
        <v>125</v>
      </c>
      <c r="M316" s="46" t="s">
        <v>406</v>
      </c>
    </row>
    <row r="317" spans="1:13" ht="49.5">
      <c r="A317" s="15">
        <v>308</v>
      </c>
      <c r="B317" s="15" t="s">
        <v>392</v>
      </c>
      <c r="C317" s="15" t="s">
        <v>36</v>
      </c>
      <c r="D317" s="33">
        <v>50</v>
      </c>
      <c r="E317" s="33"/>
      <c r="F317" s="33"/>
      <c r="G317" s="46">
        <f>50</f>
        <v>50</v>
      </c>
      <c r="H317" s="33"/>
      <c r="I317" s="33"/>
      <c r="J317" s="15" t="s">
        <v>27</v>
      </c>
      <c r="K317" s="15"/>
      <c r="L317" s="20" t="s">
        <v>31</v>
      </c>
      <c r="M317" s="46">
        <f>50</f>
        <v>50</v>
      </c>
    </row>
    <row r="318" spans="1:13" ht="51">
      <c r="A318" s="15">
        <v>309</v>
      </c>
      <c r="B318" s="15" t="s">
        <v>393</v>
      </c>
      <c r="C318" s="15" t="s">
        <v>72</v>
      </c>
      <c r="D318" s="33">
        <v>5000</v>
      </c>
      <c r="E318" s="33"/>
      <c r="F318" s="33"/>
      <c r="G318" s="46">
        <f>397.65</f>
        <v>397.65</v>
      </c>
      <c r="H318" s="33"/>
      <c r="I318" s="33"/>
      <c r="J318" s="15" t="s">
        <v>27</v>
      </c>
      <c r="K318" s="15"/>
      <c r="L318" s="20" t="s">
        <v>125</v>
      </c>
      <c r="M318" s="46">
        <f>397.65</f>
        <v>397.65</v>
      </c>
    </row>
    <row r="319" spans="1:13" ht="49.5">
      <c r="A319" s="15">
        <v>310</v>
      </c>
      <c r="B319" s="12" t="s">
        <v>39</v>
      </c>
      <c r="C319" s="12" t="s">
        <v>40</v>
      </c>
      <c r="D319" s="33">
        <v>419</v>
      </c>
      <c r="E319" s="33"/>
      <c r="F319" s="33"/>
      <c r="G319" s="46">
        <f>419</f>
        <v>419</v>
      </c>
      <c r="H319" s="33"/>
      <c r="I319" s="33"/>
      <c r="J319" s="15" t="s">
        <v>27</v>
      </c>
      <c r="K319" s="15"/>
      <c r="L319" s="20" t="s">
        <v>31</v>
      </c>
      <c r="M319" s="46">
        <f>419</f>
        <v>419</v>
      </c>
    </row>
    <row r="320" spans="1:13" ht="48.75">
      <c r="A320" s="47">
        <v>311</v>
      </c>
      <c r="B320" s="15" t="s">
        <v>193</v>
      </c>
      <c r="C320" s="15" t="s">
        <v>50</v>
      </c>
      <c r="D320" s="33">
        <v>3700</v>
      </c>
      <c r="E320" s="33"/>
      <c r="F320" s="33"/>
      <c r="G320" s="46" t="s">
        <v>406</v>
      </c>
      <c r="H320" s="33"/>
      <c r="I320" s="33"/>
      <c r="J320" s="15" t="s">
        <v>27</v>
      </c>
      <c r="K320" s="15"/>
      <c r="L320" s="20" t="s">
        <v>125</v>
      </c>
      <c r="M320" s="46" t="s">
        <v>406</v>
      </c>
    </row>
    <row r="321" spans="1:13" ht="48.75">
      <c r="A321" s="47">
        <v>312</v>
      </c>
      <c r="B321" s="15" t="s">
        <v>394</v>
      </c>
      <c r="C321" s="15" t="s">
        <v>77</v>
      </c>
      <c r="D321" s="33">
        <v>1517</v>
      </c>
      <c r="E321" s="33"/>
      <c r="F321" s="33"/>
      <c r="G321" s="46" t="s">
        <v>406</v>
      </c>
      <c r="H321" s="33"/>
      <c r="I321" s="33"/>
      <c r="J321" s="15" t="s">
        <v>27</v>
      </c>
      <c r="K321" s="15"/>
      <c r="L321" s="20" t="s">
        <v>125</v>
      </c>
      <c r="M321" s="46" t="s">
        <v>406</v>
      </c>
    </row>
    <row r="322" spans="1:13" ht="48.75">
      <c r="A322" s="47">
        <v>313</v>
      </c>
      <c r="B322" s="15" t="s">
        <v>335</v>
      </c>
      <c r="C322" s="15" t="s">
        <v>70</v>
      </c>
      <c r="D322" s="33">
        <v>10715.28</v>
      </c>
      <c r="E322" s="33"/>
      <c r="F322" s="33"/>
      <c r="G322" s="46" t="s">
        <v>406</v>
      </c>
      <c r="H322" s="33"/>
      <c r="I322" s="33"/>
      <c r="J322" s="15" t="s">
        <v>27</v>
      </c>
      <c r="K322" s="15"/>
      <c r="L322" s="20" t="s">
        <v>125</v>
      </c>
      <c r="M322" s="46" t="s">
        <v>406</v>
      </c>
    </row>
    <row r="323" spans="1:13" ht="48.75">
      <c r="A323" s="47">
        <v>315</v>
      </c>
      <c r="B323" s="15" t="s">
        <v>395</v>
      </c>
      <c r="C323" s="15" t="s">
        <v>70</v>
      </c>
      <c r="D323" s="33">
        <v>400</v>
      </c>
      <c r="E323" s="33"/>
      <c r="F323" s="33"/>
      <c r="G323" s="46" t="s">
        <v>406</v>
      </c>
      <c r="H323" s="33"/>
      <c r="I323" s="33"/>
      <c r="J323" s="15" t="s">
        <v>156</v>
      </c>
      <c r="K323" s="15"/>
      <c r="L323" s="20" t="s">
        <v>125</v>
      </c>
      <c r="M323" s="46" t="s">
        <v>406</v>
      </c>
    </row>
    <row r="324" spans="1:13" ht="48.75">
      <c r="A324" s="47">
        <v>316</v>
      </c>
      <c r="B324" s="15" t="s">
        <v>387</v>
      </c>
      <c r="C324" s="15" t="s">
        <v>50</v>
      </c>
      <c r="D324" s="33">
        <v>2850</v>
      </c>
      <c r="E324" s="33"/>
      <c r="F324" s="33"/>
      <c r="G324" s="46" t="s">
        <v>406</v>
      </c>
      <c r="H324" s="33"/>
      <c r="I324" s="33"/>
      <c r="J324" s="15" t="s">
        <v>156</v>
      </c>
      <c r="K324" s="15"/>
      <c r="L324" s="20" t="s">
        <v>125</v>
      </c>
      <c r="M324" s="46" t="s">
        <v>406</v>
      </c>
    </row>
    <row r="325" spans="1:13" ht="63.75">
      <c r="A325" s="47">
        <v>317</v>
      </c>
      <c r="B325" s="15" t="s">
        <v>396</v>
      </c>
      <c r="C325" s="15" t="s">
        <v>195</v>
      </c>
      <c r="D325" s="33">
        <v>64</v>
      </c>
      <c r="E325" s="33"/>
      <c r="F325" s="33"/>
      <c r="G325" s="46" t="s">
        <v>406</v>
      </c>
      <c r="H325" s="33"/>
      <c r="I325" s="33"/>
      <c r="J325" s="15" t="s">
        <v>156</v>
      </c>
      <c r="K325" s="15"/>
      <c r="L325" s="20" t="s">
        <v>125</v>
      </c>
      <c r="M325" s="46" t="s">
        <v>406</v>
      </c>
    </row>
    <row r="326" spans="1:13" ht="48.75">
      <c r="A326" s="47">
        <v>318</v>
      </c>
      <c r="B326" s="15" t="s">
        <v>397</v>
      </c>
      <c r="C326" s="15" t="s">
        <v>72</v>
      </c>
      <c r="D326" s="33">
        <v>480</v>
      </c>
      <c r="E326" s="33"/>
      <c r="F326" s="33"/>
      <c r="G326" s="46" t="s">
        <v>406</v>
      </c>
      <c r="H326" s="33"/>
      <c r="I326" s="33"/>
      <c r="J326" s="15" t="s">
        <v>156</v>
      </c>
      <c r="K326" s="15"/>
      <c r="L326" s="20" t="s">
        <v>125</v>
      </c>
      <c r="M326" s="46" t="s">
        <v>406</v>
      </c>
    </row>
    <row r="327" spans="1:13" ht="48.75">
      <c r="A327" s="47">
        <v>319</v>
      </c>
      <c r="B327" s="15" t="s">
        <v>223</v>
      </c>
      <c r="C327" s="15" t="s">
        <v>72</v>
      </c>
      <c r="D327" s="33">
        <v>640</v>
      </c>
      <c r="E327" s="33"/>
      <c r="F327" s="33"/>
      <c r="G327" s="46" t="s">
        <v>406</v>
      </c>
      <c r="H327" s="33"/>
      <c r="I327" s="33"/>
      <c r="J327" s="15" t="s">
        <v>156</v>
      </c>
      <c r="K327" s="15"/>
      <c r="L327" s="20" t="s">
        <v>125</v>
      </c>
      <c r="M327" s="46" t="s">
        <v>406</v>
      </c>
    </row>
    <row r="328" spans="1:13" ht="48.75">
      <c r="A328" s="47">
        <v>320</v>
      </c>
      <c r="B328" s="15" t="s">
        <v>398</v>
      </c>
      <c r="C328" s="15" t="s">
        <v>72</v>
      </c>
      <c r="D328" s="33">
        <v>480</v>
      </c>
      <c r="E328" s="33"/>
      <c r="F328" s="33"/>
      <c r="G328" s="46" t="s">
        <v>406</v>
      </c>
      <c r="H328" s="33"/>
      <c r="I328" s="33"/>
      <c r="J328" s="15" t="s">
        <v>156</v>
      </c>
      <c r="K328" s="15"/>
      <c r="L328" s="20" t="s">
        <v>125</v>
      </c>
      <c r="M328" s="46" t="s">
        <v>406</v>
      </c>
    </row>
    <row r="329" spans="1:13" ht="48.75">
      <c r="A329" s="47">
        <v>321</v>
      </c>
      <c r="B329" s="15" t="s">
        <v>399</v>
      </c>
      <c r="C329" s="15" t="s">
        <v>72</v>
      </c>
      <c r="D329" s="33">
        <v>640</v>
      </c>
      <c r="E329" s="33"/>
      <c r="F329" s="33"/>
      <c r="G329" s="46" t="s">
        <v>406</v>
      </c>
      <c r="H329" s="33"/>
      <c r="I329" s="33"/>
      <c r="J329" s="15" t="s">
        <v>156</v>
      </c>
      <c r="K329" s="15"/>
      <c r="L329" s="20" t="s">
        <v>125</v>
      </c>
      <c r="M329" s="46" t="s">
        <v>406</v>
      </c>
    </row>
    <row r="330" spans="1:13" ht="48.75">
      <c r="A330" s="47">
        <v>322</v>
      </c>
      <c r="B330" s="15" t="s">
        <v>189</v>
      </c>
      <c r="C330" s="15" t="s">
        <v>72</v>
      </c>
      <c r="D330" s="33">
        <v>640</v>
      </c>
      <c r="E330" s="33"/>
      <c r="F330" s="33"/>
      <c r="G330" s="46" t="s">
        <v>406</v>
      </c>
      <c r="H330" s="33"/>
      <c r="I330" s="33"/>
      <c r="J330" s="15" t="s">
        <v>156</v>
      </c>
      <c r="K330" s="15"/>
      <c r="L330" s="20" t="s">
        <v>125</v>
      </c>
      <c r="M330" s="46" t="s">
        <v>406</v>
      </c>
    </row>
    <row r="331" spans="1:13" ht="48.75">
      <c r="A331" s="47">
        <v>323</v>
      </c>
      <c r="B331" s="15" t="s">
        <v>235</v>
      </c>
      <c r="C331" s="15" t="s">
        <v>72</v>
      </c>
      <c r="D331" s="33">
        <v>640</v>
      </c>
      <c r="E331" s="33"/>
      <c r="F331" s="33"/>
      <c r="G331" s="46" t="s">
        <v>406</v>
      </c>
      <c r="H331" s="33"/>
      <c r="I331" s="33"/>
      <c r="J331" s="15" t="s">
        <v>156</v>
      </c>
      <c r="K331" s="15"/>
      <c r="L331" s="20" t="s">
        <v>125</v>
      </c>
      <c r="M331" s="46" t="s">
        <v>406</v>
      </c>
    </row>
    <row r="332" spans="1:13" ht="48.75">
      <c r="A332" s="47">
        <v>325</v>
      </c>
      <c r="B332" s="15" t="s">
        <v>400</v>
      </c>
      <c r="C332" s="15" t="s">
        <v>72</v>
      </c>
      <c r="D332" s="33">
        <v>480</v>
      </c>
      <c r="E332" s="33"/>
      <c r="F332" s="33"/>
      <c r="G332" s="46" t="s">
        <v>406</v>
      </c>
      <c r="H332" s="33"/>
      <c r="I332" s="33"/>
      <c r="J332" s="15" t="s">
        <v>156</v>
      </c>
      <c r="K332" s="15"/>
      <c r="L332" s="20" t="s">
        <v>125</v>
      </c>
      <c r="M332" s="46" t="s">
        <v>406</v>
      </c>
    </row>
    <row r="333" spans="1:13" ht="48.75">
      <c r="A333" s="47">
        <v>326</v>
      </c>
      <c r="B333" s="15" t="s">
        <v>401</v>
      </c>
      <c r="C333" s="15" t="s">
        <v>72</v>
      </c>
      <c r="D333" s="33">
        <v>480</v>
      </c>
      <c r="E333" s="33"/>
      <c r="F333" s="33"/>
      <c r="G333" s="46" t="s">
        <v>406</v>
      </c>
      <c r="H333" s="33"/>
      <c r="I333" s="33"/>
      <c r="J333" s="15" t="s">
        <v>156</v>
      </c>
      <c r="K333" s="15"/>
      <c r="L333" s="20" t="s">
        <v>125</v>
      </c>
      <c r="M333" s="46" t="s">
        <v>406</v>
      </c>
    </row>
    <row r="334" spans="1:13" ht="48.75">
      <c r="A334" s="47">
        <v>327</v>
      </c>
      <c r="B334" s="15" t="s">
        <v>402</v>
      </c>
      <c r="C334" s="15" t="s">
        <v>72</v>
      </c>
      <c r="D334" s="33">
        <v>800</v>
      </c>
      <c r="E334" s="33"/>
      <c r="F334" s="33"/>
      <c r="G334" s="46" t="s">
        <v>406</v>
      </c>
      <c r="H334" s="33"/>
      <c r="I334" s="33"/>
      <c r="J334" s="15" t="s">
        <v>156</v>
      </c>
      <c r="K334" s="15"/>
      <c r="L334" s="20" t="s">
        <v>125</v>
      </c>
      <c r="M334" s="46" t="s">
        <v>406</v>
      </c>
    </row>
    <row r="335" spans="1:13" ht="48.75">
      <c r="A335" s="47">
        <v>328</v>
      </c>
      <c r="B335" s="15" t="s">
        <v>385</v>
      </c>
      <c r="C335" s="15" t="s">
        <v>72</v>
      </c>
      <c r="D335" s="33">
        <v>480</v>
      </c>
      <c r="E335" s="33"/>
      <c r="F335" s="33"/>
      <c r="G335" s="46" t="s">
        <v>406</v>
      </c>
      <c r="H335" s="33"/>
      <c r="I335" s="33"/>
      <c r="J335" s="15" t="s">
        <v>156</v>
      </c>
      <c r="K335" s="15"/>
      <c r="L335" s="20" t="s">
        <v>125</v>
      </c>
      <c r="M335" s="46" t="s">
        <v>406</v>
      </c>
    </row>
    <row r="336" spans="1:13" ht="48.75">
      <c r="A336" s="47">
        <v>329</v>
      </c>
      <c r="B336" s="15" t="s">
        <v>223</v>
      </c>
      <c r="C336" s="15" t="s">
        <v>70</v>
      </c>
      <c r="D336" s="33">
        <v>1920</v>
      </c>
      <c r="E336" s="33"/>
      <c r="F336" s="33"/>
      <c r="G336" s="46" t="s">
        <v>406</v>
      </c>
      <c r="H336" s="33"/>
      <c r="I336" s="33"/>
      <c r="J336" s="15" t="s">
        <v>156</v>
      </c>
      <c r="K336" s="15"/>
      <c r="L336" s="20" t="s">
        <v>125</v>
      </c>
      <c r="M336" s="46" t="s">
        <v>406</v>
      </c>
    </row>
    <row r="337" spans="1:13" ht="48.75">
      <c r="A337" s="47">
        <v>330</v>
      </c>
      <c r="B337" s="15" t="s">
        <v>399</v>
      </c>
      <c r="C337" s="15" t="s">
        <v>70</v>
      </c>
      <c r="D337" s="33">
        <v>1291</v>
      </c>
      <c r="E337" s="33"/>
      <c r="F337" s="33"/>
      <c r="G337" s="46" t="s">
        <v>406</v>
      </c>
      <c r="H337" s="33"/>
      <c r="I337" s="33"/>
      <c r="J337" s="15" t="s">
        <v>156</v>
      </c>
      <c r="K337" s="15"/>
      <c r="L337" s="20" t="s">
        <v>125</v>
      </c>
      <c r="M337" s="46" t="s">
        <v>406</v>
      </c>
    </row>
    <row r="338" spans="1:13" ht="48.75">
      <c r="A338" s="47">
        <v>331</v>
      </c>
      <c r="B338" s="15" t="s">
        <v>403</v>
      </c>
      <c r="C338" s="15" t="s">
        <v>70</v>
      </c>
      <c r="D338" s="33">
        <v>720</v>
      </c>
      <c r="E338" s="33"/>
      <c r="F338" s="33"/>
      <c r="G338" s="46" t="s">
        <v>406</v>
      </c>
      <c r="H338" s="33"/>
      <c r="I338" s="33"/>
      <c r="J338" s="15" t="s">
        <v>156</v>
      </c>
      <c r="K338" s="15"/>
      <c r="L338" s="20" t="s">
        <v>125</v>
      </c>
      <c r="M338" s="46" t="s">
        <v>406</v>
      </c>
    </row>
    <row r="339" spans="1:13" ht="48.75">
      <c r="A339" s="47">
        <v>332</v>
      </c>
      <c r="B339" s="15" t="s">
        <v>324</v>
      </c>
      <c r="C339" s="15" t="s">
        <v>70</v>
      </c>
      <c r="D339" s="33">
        <v>2111.3000000000002</v>
      </c>
      <c r="E339" s="33"/>
      <c r="F339" s="33"/>
      <c r="G339" s="46" t="s">
        <v>406</v>
      </c>
      <c r="H339" s="33"/>
      <c r="I339" s="33"/>
      <c r="J339" s="15" t="s">
        <v>156</v>
      </c>
      <c r="K339" s="15"/>
      <c r="L339" s="20" t="s">
        <v>125</v>
      </c>
      <c r="M339" s="46" t="s">
        <v>406</v>
      </c>
    </row>
    <row r="340" spans="1:13" ht="48.75">
      <c r="A340" s="47">
        <v>333</v>
      </c>
      <c r="B340" s="15" t="s">
        <v>404</v>
      </c>
      <c r="C340" s="15" t="s">
        <v>195</v>
      </c>
      <c r="D340" s="33">
        <v>100</v>
      </c>
      <c r="E340" s="33"/>
      <c r="F340" s="33"/>
      <c r="G340" s="46" t="s">
        <v>406</v>
      </c>
      <c r="H340" s="33"/>
      <c r="I340" s="33"/>
      <c r="J340" s="15" t="s">
        <v>156</v>
      </c>
      <c r="K340" s="15"/>
      <c r="L340" s="20" t="s">
        <v>125</v>
      </c>
      <c r="M340" s="46" t="s">
        <v>406</v>
      </c>
    </row>
  </sheetData>
  <mergeCells count="1">
    <mergeCell ref="A1:L1"/>
  </mergeCells>
  <hyperlinks>
    <hyperlink ref="L115" r:id="rId1" display="http://procurement.gov.ge/files/_data/geo/samartleblivi_aqtebi/gankarguleba_n323_20130430.pdf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 კვარტალი 2013 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2013-12-24T11:37:48Z</dcterms:modified>
</cp:coreProperties>
</file>