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ხელშეკრულებები 2018" sheetId="3" r:id="rId1"/>
  </sheets>
  <definedNames>
    <definedName name="_xlnm._FilterDatabase" localSheetId="0" hidden="1">'ხელშეკრულებები 2018'!$A$3:$DN$38</definedName>
  </definedNames>
  <calcPr calcId="152511" concurrentCalc="0"/>
</workbook>
</file>

<file path=xl/calcChain.xml><?xml version="1.0" encoding="utf-8"?>
<calcChain xmlns="http://schemas.openxmlformats.org/spreadsheetml/2006/main">
  <c r="E82" i="3" l="1"/>
  <c r="E150" i="3"/>
  <c r="E139" i="3"/>
  <c r="E107" i="3"/>
  <c r="E97" i="3"/>
  <c r="E76" i="3"/>
  <c r="E52" i="3"/>
  <c r="E51" i="3"/>
  <c r="E24" i="3"/>
  <c r="E1267" i="3"/>
  <c r="E165" i="3"/>
  <c r="E718" i="3"/>
  <c r="E164" i="3"/>
  <c r="E932" i="3"/>
  <c r="E417" i="3"/>
  <c r="E23" i="3"/>
  <c r="E163" i="3"/>
  <c r="E1303" i="3"/>
  <c r="E1003" i="3"/>
  <c r="E22" i="3"/>
  <c r="E25" i="3"/>
  <c r="E222" i="3"/>
  <c r="E241" i="3"/>
  <c r="E287" i="3"/>
  <c r="E531" i="3"/>
  <c r="E1198" i="3"/>
  <c r="E142" i="3"/>
  <c r="E17" i="3"/>
  <c r="E10" i="3"/>
  <c r="E18" i="3"/>
  <c r="E11" i="3"/>
  <c r="E929" i="3"/>
  <c r="E272" i="3"/>
  <c r="E16" i="3"/>
  <c r="E9" i="3"/>
  <c r="E15" i="3"/>
  <c r="E388" i="3"/>
  <c r="E670" i="3"/>
  <c r="E19" i="3"/>
  <c r="E126" i="3"/>
  <c r="E26" i="3"/>
  <c r="E178" i="3"/>
  <c r="E14" i="3"/>
  <c r="E13" i="3"/>
  <c r="E12" i="3"/>
  <c r="E153" i="3"/>
  <c r="E235" i="3"/>
  <c r="E44" i="3"/>
  <c r="E210" i="3"/>
  <c r="E78" i="3"/>
  <c r="E38" i="3"/>
  <c r="E43" i="3"/>
  <c r="E47" i="3"/>
  <c r="E1128" i="3"/>
  <c r="E529" i="3"/>
  <c r="E389" i="3"/>
  <c r="E30" i="3"/>
  <c r="E112" i="3"/>
  <c r="E110" i="3"/>
  <c r="E382" i="3"/>
  <c r="E644" i="3"/>
  <c r="E436" i="3"/>
  <c r="E33" i="3"/>
  <c r="E1203" i="3"/>
  <c r="E1007" i="3"/>
  <c r="E952" i="3"/>
  <c r="E973" i="3"/>
  <c r="E939" i="3"/>
  <c r="E435" i="3"/>
  <c r="E28" i="3"/>
  <c r="E29" i="3"/>
  <c r="E31" i="3"/>
  <c r="E158" i="3"/>
  <c r="E821" i="3"/>
  <c r="E510" i="3"/>
  <c r="E265" i="3"/>
  <c r="E996" i="3"/>
  <c r="E36" i="3"/>
  <c r="E50" i="3"/>
  <c r="E663" i="3"/>
  <c r="E926" i="3"/>
  <c r="E95" i="3"/>
  <c r="E1036" i="3"/>
  <c r="E148" i="3"/>
  <c r="E60" i="3"/>
  <c r="E253" i="3"/>
  <c r="E646" i="3"/>
  <c r="E63" i="3"/>
  <c r="E247" i="3"/>
  <c r="E270" i="3"/>
  <c r="E479" i="3"/>
  <c r="E56" i="3"/>
  <c r="E70" i="3"/>
  <c r="E968" i="3"/>
  <c r="E930" i="3"/>
  <c r="E934" i="3"/>
  <c r="E64" i="3"/>
  <c r="E86" i="3"/>
  <c r="E645" i="3"/>
  <c r="E105" i="3"/>
  <c r="E54" i="3"/>
  <c r="E77" i="3"/>
  <c r="E57" i="3"/>
  <c r="E71" i="3"/>
  <c r="E949" i="3"/>
  <c r="E49" i="3"/>
  <c r="E65" i="3"/>
  <c r="E83" i="3"/>
  <c r="E75" i="3"/>
  <c r="E61" i="3"/>
  <c r="E55" i="3"/>
  <c r="E948" i="3"/>
  <c r="E79" i="3"/>
  <c r="E530" i="3"/>
  <c r="E394" i="3"/>
  <c r="E647" i="3"/>
  <c r="E921" i="3"/>
  <c r="E91" i="3"/>
  <c r="E94" i="3"/>
  <c r="E710" i="3"/>
  <c r="E113" i="3"/>
  <c r="E73" i="3"/>
  <c r="E104" i="3"/>
  <c r="E337" i="3"/>
  <c r="E72" i="3"/>
  <c r="E648" i="3"/>
  <c r="E346" i="3"/>
  <c r="E32" i="3"/>
  <c r="E37" i="3"/>
  <c r="E92" i="3"/>
  <c r="E766" i="3"/>
  <c r="E782" i="3"/>
  <c r="E226" i="3"/>
  <c r="E765" i="3"/>
  <c r="E511" i="3"/>
  <c r="E84" i="3"/>
  <c r="E20" i="3"/>
  <c r="E632" i="3"/>
  <c r="E74" i="3"/>
  <c r="E660" i="3"/>
  <c r="E85" i="3"/>
  <c r="E59" i="3"/>
  <c r="E48" i="3"/>
  <c r="E246" i="3"/>
  <c r="E5" i="3"/>
  <c r="E58" i="3"/>
  <c r="E458" i="3"/>
  <c r="E286" i="3"/>
  <c r="E106" i="3"/>
  <c r="E324" i="3"/>
  <c r="E111" i="3"/>
  <c r="E624" i="3"/>
  <c r="E21" i="3"/>
  <c r="E488" i="3"/>
  <c r="E45" i="3"/>
  <c r="E460" i="3"/>
  <c r="E350" i="3"/>
  <c r="E277" i="3"/>
  <c r="E87" i="3"/>
  <c r="E279" i="3"/>
  <c r="E120" i="3"/>
  <c r="E313" i="3"/>
  <c r="E117" i="3"/>
  <c r="E298" i="3"/>
  <c r="E67" i="3"/>
  <c r="E197" i="3"/>
  <c r="F4" i="3"/>
  <c r="E114" i="3"/>
  <c r="E88" i="3"/>
  <c r="E69" i="3"/>
  <c r="E35" i="3"/>
  <c r="E4" i="3"/>
  <c r="F8" i="3"/>
  <c r="E41" i="3"/>
</calcChain>
</file>

<file path=xl/comments1.xml><?xml version="1.0" encoding="utf-8"?>
<comments xmlns="http://schemas.openxmlformats.org/spreadsheetml/2006/main">
  <authors>
    <author>Author</author>
  </authors>
  <commentList>
    <comment ref="F22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3.2</t>
        </r>
      </text>
    </comment>
    <comment ref="F25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აღებულია 2.5</t>
        </r>
      </text>
    </comment>
    <comment ref="F130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კურაი -2.8$</t>
        </r>
      </text>
    </comment>
    <comment ref="F131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კურსი 2.8</t>
        </r>
      </text>
    </comment>
    <comment ref="F131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კურსი 2.8</t>
        </r>
      </text>
    </comment>
  </commentList>
</comments>
</file>

<file path=xl/sharedStrings.xml><?xml version="1.0" encoding="utf-8"?>
<sst xmlns="http://schemas.openxmlformats.org/spreadsheetml/2006/main" count="9996" uniqueCount="3056">
  <si>
    <t>შესყიდვის საშუალება</t>
  </si>
  <si>
    <t>შენიშვნა</t>
  </si>
  <si>
    <t>#</t>
  </si>
  <si>
    <t>საქართველოს კანონი სახელმწიფო შესყიდვების შესახებ, მე-10/1 მუხლის მე-3 პუნქტის "ვ" ქვეპუნქტი</t>
  </si>
  <si>
    <t>ქსოვილის ნივთები</t>
  </si>
  <si>
    <t>სასტუმროს მომსახურება</t>
  </si>
  <si>
    <r>
      <t>საქართველოს კანონი სახელმწიფო შესყიდვების შესახებ, მე-3 მუხლის 1  პუნქტის "ს</t>
    </r>
    <r>
      <rPr>
        <vertAlign val="superscript"/>
        <sz val="8"/>
        <rFont val="Sylfaen"/>
        <family val="1"/>
        <charset val="204"/>
      </rPr>
      <t>1</t>
    </r>
    <r>
      <rPr>
        <sz val="8"/>
        <rFont val="Sylfaen"/>
        <family val="1"/>
        <charset val="204"/>
      </rPr>
      <t xml:space="preserve">" ქვეპუნქტი </t>
    </r>
  </si>
  <si>
    <t>კ.ტ.</t>
  </si>
  <si>
    <t>საქართველოს კანონი სახელმწიფო შესყიდვების შესახებ, მე-3 მუხლის 1  პუნქტის "ს1" ქვეპუნქტი</t>
  </si>
  <si>
    <t>ე.ტ.</t>
  </si>
  <si>
    <t xml:space="preserve">საქართველოს კანონი სახელმწიფო შესყიდვების შესახებ, მე-10/1 მუხლის მე-3 პუნქტის "ვ" ქვეპუნქტი </t>
  </si>
  <si>
    <t>ორგანიზაციის დასახელება</t>
  </si>
  <si>
    <t>ხელშეკრულების საგანი</t>
  </si>
  <si>
    <t>ღირებულება</t>
  </si>
  <si>
    <t>შესყიდვის განხორციელების თარიღი</t>
  </si>
  <si>
    <t>CMR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</si>
  <si>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23 მარტის  #496 განკარგულების საფუძველზე</t>
  </si>
  <si>
    <t>ავტომობილების ტექნიკური მომსახურება</t>
  </si>
  <si>
    <t>საქართველოს კანონი სახელმწიფო შესყიდვების შესახებ, მე-10/1 მუხლის მე-3 პუნქტის "თ" ქვეპუნქტი</t>
  </si>
  <si>
    <t>ე. ტ.</t>
  </si>
  <si>
    <t>დაცვის მომსახურება</t>
  </si>
  <si>
    <t>ქაღალდის შესყიდვა</t>
  </si>
  <si>
    <t xml:space="preserve"> 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2017 წლის 13 დეკემბრის №3337 განკარგულების შესაბამისად (SMP170002891 ))</t>
  </si>
  <si>
    <t xml:space="preserve"> 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2017 წლის 11 დეკემბრის №3303 განკარგულების შესაბამისად (SMP170002839  ))</t>
  </si>
  <si>
    <t>გ.შ.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</si>
  <si>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26 სექტემბრის  #1805 განკარგულების საფუძველზე</t>
  </si>
  <si>
    <t>სსიპ დაცვის პოლიციის დეპარტამენტი</t>
  </si>
  <si>
    <t>26.12.2017</t>
  </si>
  <si>
    <t>31.01.2019</t>
  </si>
  <si>
    <t>სსიპ სახელისუფლებლო სპეციალური კავშირგაბმულობის სააგენტო"</t>
  </si>
  <si>
    <t>სპეცკავშირების მომსახურება</t>
  </si>
  <si>
    <t>სსიპ საჯარო რეესტრის ეროვნული სააგენტო</t>
  </si>
  <si>
    <t>დოკუმენტთბრუნვის ელეტროული პროგრამის მომსახურების შესყიდვა</t>
  </si>
  <si>
    <t>შპს "არამექს ჯორჯია"</t>
  </si>
  <si>
    <t>საპრომოციო მასალის გადაზიდვის მომსახურება</t>
  </si>
  <si>
    <t>27.12.2017</t>
  </si>
  <si>
    <t>SPA170015799</t>
  </si>
  <si>
    <t>CMR170220527</t>
  </si>
  <si>
    <t>29.12.2017</t>
  </si>
  <si>
    <t>შპს "რომპეტროლ საქართველო"</t>
  </si>
  <si>
    <t>დიზელის შესყიდვა</t>
  </si>
  <si>
    <t xml:space="preserve">პრემიუმის შესყიდვა </t>
  </si>
  <si>
    <t>შპს "მაგთიკომი"</t>
  </si>
  <si>
    <t>ინტერნეტ მომსახურება</t>
  </si>
  <si>
    <t>შპს "შერიფი"</t>
  </si>
  <si>
    <t>ჯიხურის დაცვა</t>
  </si>
  <si>
    <t>შპს "ალი გრუპი"</t>
  </si>
  <si>
    <t>ჯიხურის დასუფთავება</t>
  </si>
  <si>
    <t>სს "გლობალ ერთი"</t>
  </si>
  <si>
    <t>ინტერნეტ ტელეფონი</t>
  </si>
  <si>
    <t xml:space="preserve">შპს "ჯეონეთი" </t>
  </si>
  <si>
    <t>ინტერნეტ ტელეფონი ოფისი</t>
  </si>
  <si>
    <t>სს "სილქნეტი"</t>
  </si>
  <si>
    <t>ინტერნეტ მომსახურება - ბაკურიანის საინფორმაციო ცენტრში</t>
  </si>
  <si>
    <t>სსიპ დაცვის პოლიციის დეპარტამენტი"</t>
  </si>
  <si>
    <t>დაბა ბაკურიანის საინფორმაციო ცენტრის დაცვის ომსახურება</t>
  </si>
  <si>
    <t>31.12.2018</t>
  </si>
  <si>
    <t>CMR170220824</t>
  </si>
  <si>
    <t>CMR170220832</t>
  </si>
  <si>
    <t>საკაბელო ტელევიზიით მომსახურება</t>
  </si>
  <si>
    <t>შპს "ტავ ურბან საქართველო"</t>
  </si>
  <si>
    <t>ავტოსადგომების მომსახურება</t>
  </si>
  <si>
    <t>შპს ,,თევა"</t>
  </si>
  <si>
    <t>ლიფტის ტექნიკური მომსახურება</t>
  </si>
  <si>
    <t>შპს "სუფთა წყალი"</t>
  </si>
  <si>
    <t>სასმელი წყლის შესყიდვა</t>
  </si>
  <si>
    <t>CMR180001882</t>
  </si>
  <si>
    <t>CMR180001827</t>
  </si>
  <si>
    <t>CMR180001256</t>
  </si>
  <si>
    <t>CMR180000152</t>
  </si>
  <si>
    <t>04.01.2018</t>
  </si>
  <si>
    <t>სსიპ "საქართველოს ეროვნული მუზეუმი"</t>
  </si>
  <si>
    <t>სამუზეუმო მომსახურება</t>
  </si>
  <si>
    <t>08.01.2018</t>
  </si>
  <si>
    <t>შპს "წინანდალი"</t>
  </si>
  <si>
    <t>სსიპ "საქართველოს კულტურული მემკვიდრეობის დაცვის ეროვნული სააგენტო"</t>
  </si>
  <si>
    <t>ააიპ "ახალციხის ციხე"</t>
  </si>
  <si>
    <t>სსიპ ი.ბ. სტრალინის სახელმწიფო მუზეუმი</t>
  </si>
  <si>
    <t>სსიპ დაცული ტერიტორიების სააგენტო</t>
  </si>
  <si>
    <t>სსიპ "დადიანების სასახლეთა ისტორიულ-არქტიტექტურული მუზეუმი"</t>
  </si>
  <si>
    <t>CMR180003849</t>
  </si>
  <si>
    <t>CMR180003690</t>
  </si>
  <si>
    <t>CMR180003707</t>
  </si>
  <si>
    <t>CMR180003718</t>
  </si>
  <si>
    <t>CMR180003730</t>
  </si>
  <si>
    <t>CMR180003744</t>
  </si>
  <si>
    <t>CMR180003752</t>
  </si>
  <si>
    <t>CMR180003756</t>
  </si>
  <si>
    <t>CMR180003781</t>
  </si>
  <si>
    <t>CMR180003678</t>
  </si>
  <si>
    <t>სს "თიბისი დაზღვევა"</t>
  </si>
  <si>
    <t>ავტომობილების დაზღვევა</t>
  </si>
  <si>
    <t>შპს "მაქრო ტურიზმ"</t>
  </si>
  <si>
    <t>კვების მიწოდების მომსახურება</t>
  </si>
  <si>
    <t>სსიპ საქართველოს საერთაშორისო ხელშეკრულებების თარგმნის ბიურო</t>
  </si>
  <si>
    <t>თარგმნის მომსახურება და აუთენტურობის დამოწმება</t>
  </si>
  <si>
    <t>CMR180005206</t>
  </si>
  <si>
    <t>შპს "ტყუპების ძველი მარანი"</t>
  </si>
  <si>
    <t xml:space="preserve">ააიპ "ბათუმის ბოტანიკური ბაღი" </t>
  </si>
  <si>
    <t>შპს "მეღვინეობა ხარება"</t>
  </si>
  <si>
    <t>09.01.2018</t>
  </si>
  <si>
    <t>CMR180006293</t>
  </si>
  <si>
    <t>CMR180006885</t>
  </si>
  <si>
    <t>CMR180006892</t>
  </si>
  <si>
    <t>CMR180006575</t>
  </si>
  <si>
    <t>CMR180006566</t>
  </si>
  <si>
    <t>CMR180006555</t>
  </si>
  <si>
    <t>12.01.2018</t>
  </si>
  <si>
    <t>სარესტორნო მომსახურება</t>
  </si>
  <si>
    <t>შპს "ინტერჯორჯია"</t>
  </si>
  <si>
    <t>ტრანსპორტის მომსახურება</t>
  </si>
  <si>
    <t>CMR180007421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</si>
  <si>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11 იანვრის  #31 განკარგულების საფუძველზე (SMP170003261 )</t>
  </si>
  <si>
    <t>CMR180007941</t>
  </si>
  <si>
    <t>შპს "SIA baltic exposervice"</t>
  </si>
  <si>
    <t>სტენდის მშენებლობა ფინეთის გამოფენაზე</t>
  </si>
  <si>
    <t>შპს "acciones de publicidad y montajes azierta, S.L"</t>
  </si>
  <si>
    <t>სტენდის მშენებლობა მადრიდის გამოფენაზე</t>
  </si>
  <si>
    <t>შპს "კარგო ლოჯისთიქს გრუპ ჯორჯია"</t>
  </si>
  <si>
    <t>სატვირთო მანქანის დაქირავება მძღოლთან ერთად</t>
  </si>
  <si>
    <t>შპს "სითი ლოფტი"</t>
  </si>
  <si>
    <t>15.01.2018</t>
  </si>
  <si>
    <t>შპს "სასტუმრო ყაზბეგი"</t>
  </si>
  <si>
    <t>შპს "პარკ ჰოტელი"</t>
  </si>
  <si>
    <t>შპს "შანო კაპიტალი"</t>
  </si>
  <si>
    <t>შპს "აჭარა+"</t>
  </si>
  <si>
    <t>შპს "გუდაური სქი რესორტ"</t>
  </si>
  <si>
    <t>შპს "ევროკომ ონვესტმენტ ჯორჯია"</t>
  </si>
  <si>
    <t>სს "სასტუმროებისა და რესტორნების მენეჯმენტ ჯგუფი - ემ/გრუპი"</t>
  </si>
  <si>
    <t>შპს "41 გრადუსი"</t>
  </si>
  <si>
    <t>შპს "აი სი არ ფუუდ ენდ ბევერეჯ"</t>
  </si>
  <si>
    <t>შპს "ქართული ოჯახი"</t>
  </si>
  <si>
    <t>შპს "ლოპოტა"</t>
  </si>
  <si>
    <t>შპს "სასადილო+"</t>
  </si>
  <si>
    <t>შპს "კახური ტრადიციული მეღვინეობა"</t>
  </si>
  <si>
    <t>შპს "ქართული რესტორანი"</t>
  </si>
  <si>
    <t>შპს "კუილინარიუმი"</t>
  </si>
  <si>
    <t>შპს "რესტორანი ძველი მეტეხი"</t>
  </si>
  <si>
    <t>შპს "კ &amp; მ რესტორნები k &amp; m restaurants"</t>
  </si>
  <si>
    <t>შპს "შავი ლომი"</t>
  </si>
  <si>
    <t>შპს "იუ-ჯი-თი"</t>
  </si>
  <si>
    <t>კარტრიჯების შესყიდვა</t>
  </si>
  <si>
    <t>CON170000039</t>
  </si>
  <si>
    <t>CMR180009797</t>
  </si>
  <si>
    <t>CMR180009478</t>
  </si>
  <si>
    <t>CMR180009449</t>
  </si>
  <si>
    <t>CMR180010981</t>
  </si>
  <si>
    <t>CMR180011004</t>
  </si>
  <si>
    <t>16.01.2018</t>
  </si>
  <si>
    <t>შპს "ბინა37"</t>
  </si>
  <si>
    <t>შპს "წოდორეთის მარანი"</t>
  </si>
  <si>
    <t>შპს "აზარფეშა"</t>
  </si>
  <si>
    <t>ი.მ. მედეა დიასამიძე</t>
  </si>
  <si>
    <t>შპს "გურმე"</t>
  </si>
  <si>
    <t>შპს "არგო მენეჯმენტი"</t>
  </si>
  <si>
    <t>შპს "ქუთაისი ჰოტელ სერვის"</t>
  </si>
  <si>
    <t>შპს "MARINA COLISEUM"</t>
  </si>
  <si>
    <t>CMR180011231</t>
  </si>
  <si>
    <t>CMR180011366</t>
  </si>
  <si>
    <t>CMR180011392</t>
  </si>
  <si>
    <t>CMR180011411</t>
  </si>
  <si>
    <t>CMR180011431</t>
  </si>
  <si>
    <t>CMR180011439</t>
  </si>
  <si>
    <t>17.01.2018</t>
  </si>
  <si>
    <t>შპს "schuchman invest"</t>
  </si>
  <si>
    <t>ი.მ. ცისმარი ჩეკურაშვილი</t>
  </si>
  <si>
    <t>შპს "საგა ფუდი"</t>
  </si>
  <si>
    <t>შპს "აჭარული ღვინის სახლი"</t>
  </si>
  <si>
    <t>CMR180014252</t>
  </si>
  <si>
    <t>CMR180014090</t>
  </si>
  <si>
    <t>CMR180014098</t>
  </si>
  <si>
    <t>CMR180014220</t>
  </si>
  <si>
    <t>CMR180014495</t>
  </si>
  <si>
    <t>CMR180014501</t>
  </si>
  <si>
    <t>CMR180014510</t>
  </si>
  <si>
    <t>18.01.2018</t>
  </si>
  <si>
    <t>შპს "წყალტუბო პლაზა"</t>
  </si>
  <si>
    <t>ი.მ. ირაკლი ჩაფიჩაძე</t>
  </si>
  <si>
    <t>CMR180015028</t>
  </si>
  <si>
    <t>CMR180015047</t>
  </si>
  <si>
    <t>CMR180015056</t>
  </si>
  <si>
    <t>CMR180015268</t>
  </si>
  <si>
    <t>CMR180015304</t>
  </si>
  <si>
    <t>CMR180015341</t>
  </si>
  <si>
    <t>CMR180015357</t>
  </si>
  <si>
    <t>CMR180019696</t>
  </si>
  <si>
    <t>შპს "ფოლკ გარდენ ფაინ ენდ ფუდ კატერინგი"</t>
  </si>
  <si>
    <t>შპს "დიარონი"</t>
  </si>
  <si>
    <t>შპს "ბაქარი"</t>
  </si>
  <si>
    <t>შპს "ბაბანეურის მარანი"</t>
  </si>
  <si>
    <t>22.01.2018</t>
  </si>
  <si>
    <t>სს "ფრანს ავტო"</t>
  </si>
  <si>
    <t>მე-3 კლასის მაღალი გამავლობის მსუბუქი ავტომობილის (რენო დასტერი) მოწყობილობების შეკეთება და ტექნიკური მომსახურება და მასთან დაკავშირებული მომსახურებების შესყიდვა</t>
  </si>
  <si>
    <t>შპს "იბერია ავტო ლენდი"</t>
  </si>
  <si>
    <t>სპეციალიზირებული კლასის ავტომობილის  (პიკაპი) მოწყობილობების შეკეთება და ტექნიკური მომსახურება და მასთან დაკავშირებული მომსახურებების შესყიდვა</t>
  </si>
  <si>
    <t>E.S. Benett expo LTD</t>
  </si>
  <si>
    <t>შპს "Cordova"</t>
  </si>
  <si>
    <t>სტენდის მშენებლობა ბერლინის გამოფენაზე</t>
  </si>
  <si>
    <t>სტენდის მშენებლობა თელავივის გამოფენაზე</t>
  </si>
  <si>
    <t>Astral exhibition stands proje tasarim LTD. STI</t>
  </si>
  <si>
    <t>სტენდის მშენებლობა სტამბულის გამოფენაზე</t>
  </si>
  <si>
    <t>შპს "ჯი-ემ-თი მთაწმინდა"</t>
  </si>
  <si>
    <t>CMR180021319</t>
  </si>
  <si>
    <t>შპს "ვალოდიას კოტეჯი"</t>
  </si>
  <si>
    <t>CMR180021536</t>
  </si>
  <si>
    <t>CMR180022835</t>
  </si>
  <si>
    <t>CMR180022310</t>
  </si>
  <si>
    <t>CMR180021767</t>
  </si>
  <si>
    <t>23.01.2018</t>
  </si>
  <si>
    <t>შპს "ვიპ თრეველ ჯორჯია"</t>
  </si>
  <si>
    <t>24.01.2018</t>
  </si>
  <si>
    <t>შპს "ქეთო და კოტე"</t>
  </si>
  <si>
    <t>CMR180024304</t>
  </si>
  <si>
    <t>CMR180024308</t>
  </si>
  <si>
    <t>შპს "ლეპტოპ ცენტრი"</t>
  </si>
  <si>
    <t>ადმინისტრაციის ბალანსზე რიცხული კომპიუტერების შეკეთება</t>
  </si>
  <si>
    <t>შპს "გრინ ინვესტ"</t>
  </si>
  <si>
    <t>შპს "ბულაჩაური 2017"</t>
  </si>
  <si>
    <t>CMR180024409</t>
  </si>
  <si>
    <t>CMR180025048</t>
  </si>
  <si>
    <t>CMR180025784</t>
  </si>
  <si>
    <t xml:space="preserve"> CMR180025721</t>
  </si>
  <si>
    <t>CMR180025838</t>
  </si>
  <si>
    <t>CMR180025854</t>
  </si>
  <si>
    <t>CMR180019719</t>
  </si>
  <si>
    <t>CMR180025887</t>
  </si>
  <si>
    <t>CMR180025894</t>
  </si>
  <si>
    <t>CMR180025976</t>
  </si>
  <si>
    <t>CMR180026017</t>
  </si>
  <si>
    <t>CMR180026020</t>
  </si>
  <si>
    <t>26.01.2018</t>
  </si>
  <si>
    <t>ი.მ. თენგიზ თაბუნიძე</t>
  </si>
  <si>
    <t>გიდის მომსახურება</t>
  </si>
  <si>
    <t>შპს "შატრე"</t>
  </si>
  <si>
    <t>სს "საქართველოს სასტუმროები და სპა"</t>
  </si>
  <si>
    <t>ი.მ. თამაზი სულხანიშვილი</t>
  </si>
  <si>
    <t>შპს "შემოიხედე მარჯანიშვილზე</t>
  </si>
  <si>
    <t>შპს "ბარაქა 1994"</t>
  </si>
  <si>
    <t>CMR180027180</t>
  </si>
  <si>
    <t>CMR180027635</t>
  </si>
  <si>
    <t>CMR180028110</t>
  </si>
  <si>
    <t>CMR180028343</t>
  </si>
  <si>
    <t>CMR180028398</t>
  </si>
  <si>
    <t>CMR180028528</t>
  </si>
  <si>
    <t>CMR180028543</t>
  </si>
  <si>
    <t>CMR180032433</t>
  </si>
  <si>
    <t>ფ.პ. დავით სუჯაშვილი</t>
  </si>
  <si>
    <t>შპს "ოტო მოტორსი"</t>
  </si>
  <si>
    <t>ზეთის შესყიდვა</t>
  </si>
  <si>
    <t>ჰაერის ფილტრი</t>
  </si>
  <si>
    <t>ზეთის ფილტრის შესყიდვა</t>
  </si>
  <si>
    <t>CMR180037994</t>
  </si>
  <si>
    <t>CMR180039406</t>
  </si>
  <si>
    <t>CMR180039628</t>
  </si>
  <si>
    <t>CMR180039445</t>
  </si>
  <si>
    <t>CMR180030510</t>
  </si>
  <si>
    <t>შპს "კოლხური სახლი"</t>
  </si>
  <si>
    <t>შპს "ვი და ჯი გრუპი"</t>
  </si>
  <si>
    <t>ხელსახოცები და ტუალეტის ქაღალდების შესყიდვა</t>
  </si>
  <si>
    <t>29.01.2018</t>
  </si>
  <si>
    <t>შპს "SIA Baltic Exposervice"</t>
  </si>
  <si>
    <t>სტენდის მშენებლობა ტალინის გამოფენაზე</t>
  </si>
  <si>
    <t>შპს "ვალოდიას დუქანი"</t>
  </si>
  <si>
    <t>30.01.2018</t>
  </si>
  <si>
    <t>ფ.პ. მარიკა ბოგვერაძე</t>
  </si>
  <si>
    <t>შპს "სითი აუტო"</t>
  </si>
  <si>
    <t>შპს "ჰბ გუდაური"</t>
  </si>
  <si>
    <t>CMR180024264</t>
  </si>
  <si>
    <t>CMR180043431</t>
  </si>
  <si>
    <t>CMR180042733</t>
  </si>
  <si>
    <t>CMR180043439</t>
  </si>
  <si>
    <t>01.02.2018</t>
  </si>
  <si>
    <t>შპს "ბენე ჯგუფი"</t>
  </si>
  <si>
    <t>ფ.პ. ელენე რაქვიაშვილი</t>
  </si>
  <si>
    <t>ფ.პ. დიმიტრი ლოთიშვილი</t>
  </si>
  <si>
    <t>ფ.პ. ვასო ბურდული</t>
  </si>
  <si>
    <t>საკანალიზაციო მილის შეკეთება</t>
  </si>
  <si>
    <t>შპს "ავიაქსელი"</t>
  </si>
  <si>
    <t>საჰაერო მომსახურება</t>
  </si>
  <si>
    <t>ფაქტობრივად გადახდილი</t>
  </si>
  <si>
    <t>ფიჭური კავშირგაბმულობის მომსახურება</t>
  </si>
  <si>
    <t>29.03.2017</t>
  </si>
  <si>
    <t>01.03.2018</t>
  </si>
  <si>
    <t>CMR170079662</t>
  </si>
  <si>
    <t>საწვავი - დიზელი</t>
  </si>
  <si>
    <t>4`436.15</t>
  </si>
  <si>
    <t>CMR180044438</t>
  </si>
  <si>
    <t>CMR180044220</t>
  </si>
  <si>
    <t>CMR180044429</t>
  </si>
  <si>
    <t>CMR180044436</t>
  </si>
  <si>
    <t>CMR180046165</t>
  </si>
  <si>
    <t>CMR180045026</t>
  </si>
  <si>
    <t xml:space="preserve">1`760.00 </t>
  </si>
  <si>
    <t xml:space="preserve">48`409.94 </t>
  </si>
  <si>
    <t>18`620.40</t>
  </si>
  <si>
    <t>CMR180021753</t>
  </si>
  <si>
    <t xml:space="preserve">1`970.00 </t>
  </si>
  <si>
    <t xml:space="preserve">1`170.00 </t>
  </si>
  <si>
    <t>CMR180044417</t>
  </si>
  <si>
    <t xml:space="preserve">2`750.00 </t>
  </si>
  <si>
    <t xml:space="preserve">1`960.00 </t>
  </si>
  <si>
    <t>CMR180044223</t>
  </si>
  <si>
    <t>CMR180046185</t>
  </si>
  <si>
    <t>CMR180047816</t>
  </si>
  <si>
    <t xml:space="preserve">1`100.00 </t>
  </si>
  <si>
    <t xml:space="preserve">15`002.33 </t>
  </si>
  <si>
    <t>CMR180045815</t>
  </si>
  <si>
    <t>საწვავი - პრემიუმი</t>
  </si>
  <si>
    <t>03.01.2017</t>
  </si>
  <si>
    <t>31.01.2018</t>
  </si>
  <si>
    <t>CMR170003441</t>
  </si>
  <si>
    <t>CMR170003443</t>
  </si>
  <si>
    <t>2`756.10</t>
  </si>
  <si>
    <t>შპს "ჯეოჰოპტნიუსი"</t>
  </si>
  <si>
    <t>საინფორმაციო სააგენტოს მომსახურება</t>
  </si>
  <si>
    <t>შპს "ჰოტელს მენეჯმენტ გრუპ - HMG"</t>
  </si>
  <si>
    <t>ი.მ. რობიზონ ქავთარაძე</t>
  </si>
  <si>
    <t>შპს "ლერმონტი"</t>
  </si>
  <si>
    <t>შპს "ესთიაი ჯორჯია"</t>
  </si>
  <si>
    <t>შპს "ღვინის კომპანია შუმი"</t>
  </si>
  <si>
    <t>შპს "ა.ვ.ბ."</t>
  </si>
  <si>
    <t>შპს "როიალ ბატონი"</t>
  </si>
  <si>
    <t>შპს "ლეილა"</t>
  </si>
  <si>
    <t>ფ.პ. ამირან ჩიღოშვილი</t>
  </si>
  <si>
    <t>შპს "printer.ge"</t>
  </si>
  <si>
    <t>სავიზიტო ბარათების შესყიდვა</t>
  </si>
  <si>
    <t>შპს "პალატი"</t>
  </si>
  <si>
    <t>სს "შატო მუხრანი"</t>
  </si>
  <si>
    <t>შპს "ხოხბის ცრემლები"</t>
  </si>
  <si>
    <t>შპს "სამება"</t>
  </si>
  <si>
    <t>შპს "ტრაფიკ თრაველი"</t>
  </si>
  <si>
    <t>სს "ნინო"</t>
  </si>
  <si>
    <t>შპს 'იბერ ინფო"</t>
  </si>
  <si>
    <t>ბუღალტრული პროგრამის შესყიდვა</t>
  </si>
  <si>
    <t>სსიპ საქართველოს  საკანონმდებლო მაცნე</t>
  </si>
  <si>
    <t>ნორმატიული აქტებით სარგებლობის შესყიდვა</t>
  </si>
  <si>
    <t>შპს "Citrus"</t>
  </si>
  <si>
    <t>შპს "Mice and more LLC"</t>
  </si>
  <si>
    <t>სარეკლამო კამპანია</t>
  </si>
  <si>
    <t>შპს "ახალი ამბები"</t>
  </si>
  <si>
    <t>სარეკლამო კამპანია ipn.ge</t>
  </si>
  <si>
    <t>შპს "პირველი"</t>
  </si>
  <si>
    <t>სარეკლამო კამპანია pia.ge</t>
  </si>
  <si>
    <t>შპს "თავისუფალი გაზეთი"</t>
  </si>
  <si>
    <t>სარეკლამო კამპანია ipress.ge</t>
  </si>
  <si>
    <t>შპს "ვანილა ივენთი"</t>
  </si>
  <si>
    <t>ღონისძიების ორგანიზება</t>
  </si>
  <si>
    <t>შპს "ალტა"</t>
  </si>
  <si>
    <t>პრინტერის შეკეთება</t>
  </si>
  <si>
    <t xml:space="preserve">ფ.პ. რუსუდან ყიფიანი </t>
  </si>
  <si>
    <t>დიზაინერის მომსახურება</t>
  </si>
  <si>
    <t>შპს "ოლდ სეტი"</t>
  </si>
  <si>
    <t>ი.მ. ქრისდინე ნაკანი</t>
  </si>
  <si>
    <t>შპს "ვი დი ჯი გრუპი"</t>
  </si>
  <si>
    <t>ნაგვის პარკები</t>
  </si>
  <si>
    <t>საწმენდი საპრიალებელი პროდუქცია</t>
  </si>
  <si>
    <t>რეზინის ხელთათმანები</t>
  </si>
  <si>
    <t>ფ.პ. ანა მაჩაიძე</t>
  </si>
  <si>
    <t>დიზაინერული მომსახურება</t>
  </si>
  <si>
    <t>შპს "კავკასუს ონლაინი"</t>
  </si>
  <si>
    <t>დომეინის შესყიდვა</t>
  </si>
  <si>
    <t>შპს "GEOSM"</t>
  </si>
  <si>
    <t xml:space="preserve">საკანცელარიო საქონლის შესყიდვა </t>
  </si>
  <si>
    <t>შპს "ფავორიტი სტილი"</t>
  </si>
  <si>
    <t>2017 წლის ანგარიშის სახელმძღვანელოს შესყიდვა</t>
  </si>
  <si>
    <t>ფ.პ. ალექსანდრე პაიკიძე</t>
  </si>
  <si>
    <t>ღვინო და კულინარია - სატრენინგო მომსახურება</t>
  </si>
  <si>
    <t>02.02.2018</t>
  </si>
  <si>
    <t>CMR180050168</t>
  </si>
  <si>
    <t>CMR180048853</t>
  </si>
  <si>
    <t>CMR180048770</t>
  </si>
  <si>
    <t>CMR180048746</t>
  </si>
  <si>
    <t>CMR180051085</t>
  </si>
  <si>
    <t>CMR180050914</t>
  </si>
  <si>
    <t>CMR180050776</t>
  </si>
  <si>
    <t>CMR180046370</t>
  </si>
  <si>
    <t>CMR180050911</t>
  </si>
  <si>
    <t>CMR180046905</t>
  </si>
  <si>
    <t>CMR180051147</t>
  </si>
  <si>
    <t>CMR180051133</t>
  </si>
  <si>
    <t>CMR180051146</t>
  </si>
  <si>
    <t>CMR180049918</t>
  </si>
  <si>
    <t>CMR180051142</t>
  </si>
  <si>
    <t>CMR180050931</t>
  </si>
  <si>
    <t>05.02.2018</t>
  </si>
  <si>
    <t>SPA180000156</t>
  </si>
  <si>
    <t>CMR180050128</t>
  </si>
  <si>
    <t>06.02.2018</t>
  </si>
  <si>
    <t>CMR180051859</t>
  </si>
  <si>
    <t>CMR180051866</t>
  </si>
  <si>
    <t>CMR180050115</t>
  </si>
  <si>
    <t>CMR180052817</t>
  </si>
  <si>
    <t>CMR180052723</t>
  </si>
  <si>
    <t>CMR180052704</t>
  </si>
  <si>
    <t>07.02.2018</t>
  </si>
  <si>
    <t>CMR180049457</t>
  </si>
  <si>
    <t>07.03.2019</t>
  </si>
  <si>
    <t>CMR180049472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</si>
  <si>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2 თებერვლის  #260 განკარგულების საფუძველზე (SMP180000252)</t>
  </si>
  <si>
    <t>CMR180048709</t>
  </si>
  <si>
    <t>CMR180051540</t>
  </si>
  <si>
    <t>CMR180051545</t>
  </si>
  <si>
    <t>CMR180051534</t>
  </si>
  <si>
    <t>08.02.2018</t>
  </si>
  <si>
    <t>CMR180051091</t>
  </si>
  <si>
    <t>09.02.2018</t>
  </si>
  <si>
    <t>CMR180052708</t>
  </si>
  <si>
    <t>CMR180051745</t>
  </si>
  <si>
    <t>CMR180051735</t>
  </si>
  <si>
    <t>CMR180051724</t>
  </si>
  <si>
    <t>CMR180051762</t>
  </si>
  <si>
    <t>CMR180053031</t>
  </si>
  <si>
    <t>CMR180053045</t>
  </si>
  <si>
    <t>CMR180053051</t>
  </si>
  <si>
    <t>CMR180053053</t>
  </si>
  <si>
    <t>31.03.2019</t>
  </si>
  <si>
    <t>12.02.2018</t>
  </si>
  <si>
    <t>SPA180000157</t>
  </si>
  <si>
    <t>CMR180052719</t>
  </si>
  <si>
    <t>სპეციალიზირებული კლასის ავტომობილის ტექნიკური მომსახურება</t>
  </si>
  <si>
    <t>10.02.2016</t>
  </si>
  <si>
    <t>CMR160053728</t>
  </si>
  <si>
    <t xml:space="preserve">5`298.00 </t>
  </si>
  <si>
    <t>CMR180045027</t>
  </si>
  <si>
    <t>CMR180045683</t>
  </si>
  <si>
    <t>CMR180044419</t>
  </si>
  <si>
    <t>CMR180044424</t>
  </si>
  <si>
    <t>CMR180045693</t>
  </si>
  <si>
    <t>CMR180046149</t>
  </si>
  <si>
    <t>CMR180045716</t>
  </si>
  <si>
    <t>CMR180046212</t>
  </si>
  <si>
    <t>CMR180047462</t>
  </si>
  <si>
    <t>CMR180044625</t>
  </si>
  <si>
    <t>CMR180049994</t>
  </si>
  <si>
    <t>CMR180049293</t>
  </si>
  <si>
    <t>CMR180050106</t>
  </si>
  <si>
    <t>CMR180047957</t>
  </si>
  <si>
    <t>CMR180047936</t>
  </si>
  <si>
    <t>CMR180047990</t>
  </si>
  <si>
    <t>1`137.50</t>
  </si>
  <si>
    <t>18`078.60</t>
  </si>
  <si>
    <t>1`800.00</t>
  </si>
  <si>
    <t xml:space="preserve">2`304.00 </t>
  </si>
  <si>
    <t xml:space="preserve">2`825.00 </t>
  </si>
  <si>
    <t xml:space="preserve">1`550.00 </t>
  </si>
  <si>
    <t>1`382.00</t>
  </si>
  <si>
    <t>3`080.00</t>
  </si>
  <si>
    <t>2`525.00</t>
  </si>
  <si>
    <t xml:space="preserve">3`604.16 </t>
  </si>
  <si>
    <t xml:space="preserve">63`751.61 </t>
  </si>
  <si>
    <t>3`840.00</t>
  </si>
  <si>
    <t>CMR180052222</t>
  </si>
  <si>
    <t xml:space="preserve">12`190.00 </t>
  </si>
  <si>
    <t xml:space="preserve">3`076.59 </t>
  </si>
  <si>
    <t xml:space="preserve">2`000.00 </t>
  </si>
  <si>
    <t>3`400.00</t>
  </si>
  <si>
    <t>CMR180053895</t>
  </si>
  <si>
    <t>CMR180053813</t>
  </si>
  <si>
    <t>CMR180053863</t>
  </si>
  <si>
    <t xml:space="preserve">1`680.00 </t>
  </si>
  <si>
    <t>CMR180053821</t>
  </si>
  <si>
    <t>CMR180053957</t>
  </si>
  <si>
    <t>CMR180053877</t>
  </si>
  <si>
    <t>1`680.00</t>
  </si>
  <si>
    <t xml:space="preserve">5`755.00 </t>
  </si>
  <si>
    <t>1`751.20</t>
  </si>
  <si>
    <t>სს "გამოფენების ცენტრი"</t>
  </si>
  <si>
    <t>ი.მ. ლერი ნიგურიანი</t>
  </si>
  <si>
    <t>შპს "ქი მენეჯმენტ სოლუშენი"</t>
  </si>
  <si>
    <t>ჰიგიენა და სურსათის უსაფრთხოება - სატრენინგო მომსახურება</t>
  </si>
  <si>
    <t>შპს "ლერმონტ"</t>
  </si>
  <si>
    <t>შპს "სასტუმრო გუდაური ინნ"</t>
  </si>
  <si>
    <t>ი.მ. ელენა საფრონოვა-ბოლოთაშვილი</t>
  </si>
  <si>
    <t>ქართული ღვინის შესყიდვა ბერლინის გამოფენაზე</t>
  </si>
  <si>
    <t>შპს "teliani valley S.A."</t>
  </si>
  <si>
    <t>ქართული ღვინის შესყიდვა პოლონეთის გამოფენაზე</t>
  </si>
  <si>
    <t>შპს "kaus media services"</t>
  </si>
  <si>
    <t>ღონისძიების ორგანიზების მომსახურება ბერლინის გამოფენაზე</t>
  </si>
  <si>
    <t>შპს "ევროპის აკადემიური ცენტრი"</t>
  </si>
  <si>
    <t>სატრენინგო მომსახურება - გაყოდვები და მარკეტინგი</t>
  </si>
  <si>
    <t>ააიპ საქართველოს წითელი ჯვრის ასოციაცია</t>
  </si>
  <si>
    <t>პირველადი სამედიცინო დახმარების  ტრენინგი</t>
  </si>
  <si>
    <t>კომპიუტერის შეკეთება</t>
  </si>
  <si>
    <t>შპს "პორტო ფრანკო"</t>
  </si>
  <si>
    <t>შპს "ბულვარის კარიბჭე"</t>
  </si>
  <si>
    <t>შპს "ატმ-ანბანის კოშკის მენეჯმენტი"</t>
  </si>
  <si>
    <t>სს "საქართველოს რკინიგზა"</t>
  </si>
  <si>
    <t>ბილეთების შესყიდვა</t>
  </si>
  <si>
    <t>შპს "აიპლიუსი"</t>
  </si>
  <si>
    <t>მაქბუქ პროს შეკეთება</t>
  </si>
  <si>
    <t>სს  "ფრანს ავტო"</t>
  </si>
  <si>
    <t>ტექნიკური მომსახურება</t>
  </si>
  <si>
    <t>შპს "პროესკო"</t>
  </si>
  <si>
    <t>ნაჭრის ჩანთების შესყიდვა</t>
  </si>
  <si>
    <t>შპს "ნივადა გრუპი"</t>
  </si>
  <si>
    <t>შპს ,,ბითიელი"</t>
  </si>
  <si>
    <t>შპს "ბიმარკ გრუპი"</t>
  </si>
  <si>
    <t>სარესკლამო კამპანია</t>
  </si>
  <si>
    <t>შპს "ჯორჯია თუდეი"</t>
  </si>
  <si>
    <t>შპს "დადვანი ჯგუფი"</t>
  </si>
  <si>
    <t>ფ.პ. ზვიად ბეჭვაია</t>
  </si>
  <si>
    <t>შპს 'კარგო ლოჯისთიქს გრუპ ჯორჯია"</t>
  </si>
  <si>
    <t>გადაზიდვის მომსახურება</t>
  </si>
  <si>
    <t>შპს ,,ტრაფიკ თრეველი"</t>
  </si>
  <si>
    <t>სს ,,ნინო"</t>
  </si>
  <si>
    <t>შპს ,,ავიაქსელი"</t>
  </si>
  <si>
    <t>LLC "Euronews"</t>
  </si>
  <si>
    <t>ფ.პ დავით სუჯაშვილი</t>
  </si>
  <si>
    <t>შპს ,,ვიპ თრეველ ჯორჯია"</t>
  </si>
  <si>
    <t>შპს ,,სითი ლოფტი"</t>
  </si>
  <si>
    <t>პრეზენტაციის ორგანიზების მომსახურება</t>
  </si>
  <si>
    <t>ი.მ თენგიზ თაბუნიძე</t>
  </si>
  <si>
    <t>შპს ,,გეორგია"</t>
  </si>
  <si>
    <t>კარის საკეტი</t>
  </si>
  <si>
    <t>შპს ,,მაგთიკომი"</t>
  </si>
  <si>
    <t>ი.მ გიორგი აფციაური</t>
  </si>
  <si>
    <t>შპს ,,ინტერჯორჯია"</t>
  </si>
  <si>
    <t>შპს ,, გ და ლ რესტორნები"</t>
  </si>
  <si>
    <t>ფ.პ ჯულიეტა ავსაჯანიშვილი</t>
  </si>
  <si>
    <t>ი.მ. ლალი ლოხიშვილი</t>
  </si>
  <si>
    <t>თარგმნის მომასახურება</t>
  </si>
  <si>
    <t>ფ.პ მარიკა ბოგვერაძე</t>
  </si>
  <si>
    <t>შპს ვიპ თრეველ ჯორჯია"</t>
  </si>
  <si>
    <t>15.02.2018</t>
  </si>
  <si>
    <t>CMR180055971</t>
  </si>
  <si>
    <t>16.02.2018</t>
  </si>
  <si>
    <t>CMR180054782</t>
  </si>
  <si>
    <t>CMR180054793</t>
  </si>
  <si>
    <t>CMR180059096</t>
  </si>
  <si>
    <t>CMR180055142</t>
  </si>
  <si>
    <t>19.02.2018</t>
  </si>
  <si>
    <t>CMR180057399</t>
  </si>
  <si>
    <t>CMR180057411</t>
  </si>
  <si>
    <t>20.02.2018</t>
  </si>
  <si>
    <t>CMR180059080</t>
  </si>
  <si>
    <t>CMR180059087</t>
  </si>
  <si>
    <t>CMR180059090</t>
  </si>
  <si>
    <t>CMR180057965</t>
  </si>
  <si>
    <t>CMR180056724</t>
  </si>
  <si>
    <t>CMR180056344</t>
  </si>
  <si>
    <t>CMR180057045</t>
  </si>
  <si>
    <t>CMR180062329</t>
  </si>
  <si>
    <t>CMR180062744</t>
  </si>
  <si>
    <t>22.02.2018</t>
  </si>
  <si>
    <t>CMR180059291</t>
  </si>
  <si>
    <t>CMR180059261</t>
  </si>
  <si>
    <t>CMR180059192</t>
  </si>
  <si>
    <t>CMR180059226</t>
  </si>
  <si>
    <t>CMR180059239</t>
  </si>
  <si>
    <t>CMR180057564</t>
  </si>
  <si>
    <t>CMR180062764</t>
  </si>
  <si>
    <t>CMR180058226</t>
  </si>
  <si>
    <t>CMR180058221</t>
  </si>
  <si>
    <t>23.02.2018</t>
  </si>
  <si>
    <t>CMR180062253</t>
  </si>
  <si>
    <t>CMR180062518</t>
  </si>
  <si>
    <t>CMR180061277</t>
  </si>
  <si>
    <t>CMR180061271</t>
  </si>
  <si>
    <t>CMR180062737</t>
  </si>
  <si>
    <t>CMR180062509</t>
  </si>
  <si>
    <t>CMR180062481</t>
  </si>
  <si>
    <t>26.02.2018</t>
  </si>
  <si>
    <t>SPA180001636</t>
  </si>
  <si>
    <t>27.02.2019</t>
  </si>
  <si>
    <t>CMR180062464</t>
  </si>
  <si>
    <t>28.02.2019</t>
  </si>
  <si>
    <t>02.03.2018</t>
  </si>
  <si>
    <t>01.03.2019</t>
  </si>
  <si>
    <t xml:space="preserve">8`925.00 </t>
  </si>
  <si>
    <t xml:space="preserve">2`400.00 </t>
  </si>
  <si>
    <t xml:space="preserve">2`300.00 </t>
  </si>
  <si>
    <t xml:space="preserve">1`850.00 </t>
  </si>
  <si>
    <t>1`694.00</t>
  </si>
  <si>
    <t>1`003.86</t>
  </si>
  <si>
    <t>19`441.68</t>
  </si>
  <si>
    <t xml:space="preserve">1`750.00 </t>
  </si>
  <si>
    <t>1`002.82</t>
  </si>
  <si>
    <t>1`554.96</t>
  </si>
  <si>
    <t xml:space="preserve">1`500.00 </t>
  </si>
  <si>
    <t>1`500.00</t>
  </si>
  <si>
    <t>1`475.00</t>
  </si>
  <si>
    <t>CMR180053779</t>
  </si>
  <si>
    <t>CMR180063797</t>
  </si>
  <si>
    <t>7`500.00</t>
  </si>
  <si>
    <t xml:space="preserve">3`128.00 </t>
  </si>
  <si>
    <t>CMR180066215</t>
  </si>
  <si>
    <t>CMR180066210</t>
  </si>
  <si>
    <t>CMR180063032</t>
  </si>
  <si>
    <t>CMR180065730</t>
  </si>
  <si>
    <t>CMR180063624</t>
  </si>
  <si>
    <t>CMR180063631</t>
  </si>
  <si>
    <t>CMR180066127</t>
  </si>
  <si>
    <t>CMR180066115</t>
  </si>
  <si>
    <t>CMR180066073</t>
  </si>
  <si>
    <t>CMR180066188</t>
  </si>
  <si>
    <t>CMR180064949</t>
  </si>
  <si>
    <t>CMR180064980</t>
  </si>
  <si>
    <t>CMR180064986</t>
  </si>
  <si>
    <t>CMR180064451</t>
  </si>
  <si>
    <t>CMR180066055</t>
  </si>
  <si>
    <t>CMR180064090</t>
  </si>
  <si>
    <t>CMR180064081</t>
  </si>
  <si>
    <t>1`400.00</t>
  </si>
  <si>
    <t>CMR180064031</t>
  </si>
  <si>
    <t>CMR180064021</t>
  </si>
  <si>
    <t>1`750.00</t>
  </si>
  <si>
    <t xml:space="preserve">1`043.75 </t>
  </si>
  <si>
    <t>CMR180064545</t>
  </si>
  <si>
    <t>2`000.00</t>
  </si>
  <si>
    <t>შპს ,,ევროპის აკადემიური ცენტრი-რეგიონები"</t>
  </si>
  <si>
    <t>ინგლისური ენის ტრენინგი</t>
  </si>
  <si>
    <t>შპს ,,404"</t>
  </si>
  <si>
    <t>საინფორმაციო ცენტრში რკინის კარის შეკეთება</t>
  </si>
  <si>
    <t>შპს ,,რმჯ"</t>
  </si>
  <si>
    <t>LTD ,,Bam Bam Music"</t>
  </si>
  <si>
    <t>კულტურული ღონისძიების ორგანიზების მომსახურება</t>
  </si>
  <si>
    <t>შპს ,,გუდაური სქი რეზორტი"</t>
  </si>
  <si>
    <t>ი.მ ბორის ჯაფარიძე</t>
  </si>
  <si>
    <t>შპს "Windforce Georgia"</t>
  </si>
  <si>
    <t xml:space="preserve">სარეკლამო კამპანია -მეშვიდე მემილიონე </t>
  </si>
  <si>
    <t>ფ.პ რუსუდან ყიფიანი</t>
  </si>
  <si>
    <t>ტექსტების შექმნის, თარგმნის და რედაქტირების მომსახურება</t>
  </si>
  <si>
    <t>შპს კვკასუს ონლაინი</t>
  </si>
  <si>
    <t>დომეინების შესყიდვა</t>
  </si>
  <si>
    <t>შპს ,,ბინა"37</t>
  </si>
  <si>
    <t>LTD Allians Media</t>
  </si>
  <si>
    <t>სარეკლამო კამპანია - ტელევიზიები</t>
  </si>
  <si>
    <t>შპს "ჯობს.ჯი"</t>
  </si>
  <si>
    <t>განცხადების განთავსება</t>
  </si>
  <si>
    <t>ააიპ ტრენინგების საერთაშორისო ცენტრი</t>
  </si>
  <si>
    <t>საგადასახადო კოდექსი და ფინანსური ანგარიშების ტრენინგი</t>
  </si>
  <si>
    <t>05.03.2018</t>
  </si>
  <si>
    <t>06.03.2018</t>
  </si>
  <si>
    <t>07.03.2018</t>
  </si>
  <si>
    <t>03.03.2019</t>
  </si>
  <si>
    <t>09.03.2018</t>
  </si>
  <si>
    <t>CMR180067210</t>
  </si>
  <si>
    <t>4`200.00</t>
  </si>
  <si>
    <t>1`575.00</t>
  </si>
  <si>
    <t>CMR180055034</t>
  </si>
  <si>
    <t>1`513.75</t>
  </si>
  <si>
    <t>1`411.77</t>
  </si>
  <si>
    <t>CMR180067207</t>
  </si>
  <si>
    <t>CMR180067196</t>
  </si>
  <si>
    <t>CMR180067239</t>
  </si>
  <si>
    <t>3`248.00</t>
  </si>
  <si>
    <t>CMR180065361</t>
  </si>
  <si>
    <t xml:space="preserve">8`700.00 </t>
  </si>
  <si>
    <t>ltd "aimbulance europe"</t>
  </si>
  <si>
    <t>სარეკლამო კამპანია უკრაინაში</t>
  </si>
  <si>
    <t>შპს "ჯორჯიან ჰოტელ მენეჯმენტი"</t>
  </si>
  <si>
    <t>ღონისძიების ორგანიზება ჩექინ ჯორჯიას ფარგლებში</t>
  </si>
  <si>
    <t>შპს "ჯორჯია თუდეი ჯგუფი"</t>
  </si>
  <si>
    <t>რეკლამა ჟურნალში ეკონომისტი</t>
  </si>
  <si>
    <t>შპს "თეგეტა მოტორსი"</t>
  </si>
  <si>
    <t>შპს "interexpo ltd"</t>
  </si>
  <si>
    <t>უკრაინის სტენდის მშენებლობა</t>
  </si>
  <si>
    <t>შპს "Square rock ltd"</t>
  </si>
  <si>
    <t>სარეკლამო კამპანია გერმანულ ჟურნალში"</t>
  </si>
  <si>
    <t>შპს "Mind spirit designs &amp; works llc"</t>
  </si>
  <si>
    <t>დუბაის სტენდის მშენებლობა</t>
  </si>
  <si>
    <t>სსიპ ბათუმის სახელმწიფო მუსიკალური ცენტრი</t>
  </si>
  <si>
    <t>შპს "თბილისის სახელწმიფო საკონცერტო დარბაზი"</t>
  </si>
  <si>
    <t>ბროშურის მოსამზადებელი ტექსტის თარგმნა</t>
  </si>
  <si>
    <t>შპს "სოფმასტერ სერვისი"</t>
  </si>
  <si>
    <t>საინფორმაციო-სარეკლამო ბილბორდების შეკეთება და ტექ მმომსახურება</t>
  </si>
  <si>
    <t>შპს "შატო მერე"</t>
  </si>
  <si>
    <t>შპს "ინტერ ჯორჯია"</t>
  </si>
  <si>
    <t>შპს "Sia Baltic Exposervice"</t>
  </si>
  <si>
    <t>ჩინეთის გამოფენაზე სტენდის მშენებლობა</t>
  </si>
  <si>
    <t>ააიპ "ინკლუზიური ტურიზმის ცენტრი-პარსა"</t>
  </si>
  <si>
    <t>სატრენინგო მომსახურება</t>
  </si>
  <si>
    <t>ააიპ საქართველოს გიდების ასოციაცია</t>
  </si>
  <si>
    <t>სალონის ფილტრის შესყიდვა</t>
  </si>
  <si>
    <t>ბრენდირებული სასაჩუქრე მასალა</t>
  </si>
  <si>
    <t>შპს "ფიროსმანი"</t>
  </si>
  <si>
    <t>შპს "Sysomos"</t>
  </si>
  <si>
    <t>ლიცენზიის შესყიდვა</t>
  </si>
  <si>
    <t>შპს "რეზონი"</t>
  </si>
  <si>
    <t>სტატისტიკის ბეჭდვა</t>
  </si>
  <si>
    <t>შპს "ბეთერფლაი"</t>
  </si>
  <si>
    <t>სარეკლამო კამპანია ჩექინ ჯორჯიას ფარგლებში"</t>
  </si>
  <si>
    <t>CMR180070731</t>
  </si>
  <si>
    <t>12.03.2018</t>
  </si>
  <si>
    <t>CMR180069890</t>
  </si>
  <si>
    <t>CMR180069484</t>
  </si>
  <si>
    <t>CMR180068311</t>
  </si>
  <si>
    <t>13.03.2018</t>
  </si>
  <si>
    <t>SPA180002211</t>
  </si>
  <si>
    <t>CMR180067690</t>
  </si>
  <si>
    <t>CMR180067683</t>
  </si>
  <si>
    <t>CMR180068527</t>
  </si>
  <si>
    <t>14.03.2018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</si>
  <si>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6 მარტის  #511 განკარგულების საფუძველზე (SMP180000491)</t>
  </si>
  <si>
    <t>CMR180068938</t>
  </si>
  <si>
    <t>CMR180069111</t>
  </si>
  <si>
    <t>15.03.2018</t>
  </si>
  <si>
    <t>CMR180070605</t>
  </si>
  <si>
    <t>16.03.2018</t>
  </si>
  <si>
    <t>SPA180001699</t>
  </si>
  <si>
    <t>CMR180070861</t>
  </si>
  <si>
    <t>CMR180073830</t>
  </si>
  <si>
    <t>20.03.2018</t>
  </si>
  <si>
    <t>21.03.2018</t>
  </si>
  <si>
    <t>CMR180072921</t>
  </si>
  <si>
    <t>SPA180001994</t>
  </si>
  <si>
    <t>22.03.2018</t>
  </si>
  <si>
    <t>SPA180001961</t>
  </si>
  <si>
    <t>23.03.2018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</si>
  <si>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6 მარტის  #511 განკარგულების საფუძველზე (SMP180000448 )</t>
  </si>
  <si>
    <t>4`295.20</t>
  </si>
  <si>
    <t>CMR180065353</t>
  </si>
  <si>
    <t>CMR180064232</t>
  </si>
  <si>
    <t>CMR180064224</t>
  </si>
  <si>
    <t>CMR180063548</t>
  </si>
  <si>
    <t>CMR180065356</t>
  </si>
  <si>
    <t>2`300.00</t>
  </si>
  <si>
    <t>3`875.00</t>
  </si>
  <si>
    <t xml:space="preserve">6`500.00 </t>
  </si>
  <si>
    <t xml:space="preserve">3`938.00 </t>
  </si>
  <si>
    <t>3`776.00</t>
  </si>
  <si>
    <t>CMR180065343</t>
  </si>
  <si>
    <t xml:space="preserve">2`650.00 </t>
  </si>
  <si>
    <t>CMR180069157</t>
  </si>
  <si>
    <t>2`030.50</t>
  </si>
  <si>
    <t>29`860.00</t>
  </si>
  <si>
    <t xml:space="preserve">14`780.00 </t>
  </si>
  <si>
    <t>CMR180053490</t>
  </si>
  <si>
    <t xml:space="preserve">1`248.00 </t>
  </si>
  <si>
    <t>CMR180067203</t>
  </si>
  <si>
    <t>1`700.00</t>
  </si>
  <si>
    <t>CMR180069230</t>
  </si>
  <si>
    <t>1`250.00</t>
  </si>
  <si>
    <t>CMR180054234</t>
  </si>
  <si>
    <t>40`000.00</t>
  </si>
  <si>
    <t xml:space="preserve">4`290.00 </t>
  </si>
  <si>
    <t>შპს "ნიუ თეთნულდი"</t>
  </si>
  <si>
    <t>შპს "დიპლომატ ჯორჯია"</t>
  </si>
  <si>
    <t>ღვინის შესყიდვა</t>
  </si>
  <si>
    <t>CMR180078184</t>
  </si>
  <si>
    <t>CMR180075713</t>
  </si>
  <si>
    <t>CMR180067797</t>
  </si>
  <si>
    <t>9`800.00</t>
  </si>
  <si>
    <t>CMR180076717</t>
  </si>
  <si>
    <t>ი.მ. ნანული ჭელიძე</t>
  </si>
  <si>
    <t>CMR180076566</t>
  </si>
  <si>
    <t>CMR180055395</t>
  </si>
  <si>
    <t>CMR180066562</t>
  </si>
  <si>
    <t>CMR180068520</t>
  </si>
  <si>
    <t>CMR180067041</t>
  </si>
  <si>
    <t>CMR180071647</t>
  </si>
  <si>
    <t>CMR180074455</t>
  </si>
  <si>
    <t>CMR180073183</t>
  </si>
  <si>
    <t>CMR180076773</t>
  </si>
  <si>
    <t>CMR180076795</t>
  </si>
  <si>
    <t>შპს "ბითიელი"</t>
  </si>
  <si>
    <t>CMR180077698</t>
  </si>
  <si>
    <t>CMR180077710</t>
  </si>
  <si>
    <t>CMR180076971</t>
  </si>
  <si>
    <t>სს საქართველსო სასტუმროები და სპა</t>
  </si>
  <si>
    <t>შპს "ჯი-ემ-თი სასტუმროები"</t>
  </si>
  <si>
    <t>შპს "პრემიუმ ღონისძიებები"</t>
  </si>
  <si>
    <t>ანგარიშის პრეზენტაციის ღონისძიება</t>
  </si>
  <si>
    <t>LTD "Euromedia HUB B.V."</t>
  </si>
  <si>
    <t>გადაცემა სატელევიზიო არხ 1+1-ზე</t>
  </si>
  <si>
    <t>შპს "ინტერაქტივ სოლუშენს"</t>
  </si>
  <si>
    <t>სტენდის მშენებლობა თბილისის გამოფენაზე</t>
  </si>
  <si>
    <t>შპს "მთარგმნელობითი აპარატურა პლიუსი"</t>
  </si>
  <si>
    <t>თარჯიმნის მომსახურება</t>
  </si>
  <si>
    <t>შპს "Azexpomontage LLC"</t>
  </si>
  <si>
    <t>ბაქოს საგამოფენო სტენდი</t>
  </si>
  <si>
    <t>შპს პალატი</t>
  </si>
  <si>
    <t>ფ.პ. გიორგი სიდამონიძე</t>
  </si>
  <si>
    <t>შპს "მეიდანი-888"</t>
  </si>
  <si>
    <t>შპს "ალბატროს +"</t>
  </si>
  <si>
    <t>ი.მ. ლევან ბოლქვაძე</t>
  </si>
  <si>
    <t>ამბროლაურის ღონისძიება</t>
  </si>
  <si>
    <t>შპს ვებერი</t>
  </si>
  <si>
    <t>ვებ_გვერდის შექმნის მომსახურება meetgeorgia.ge</t>
  </si>
  <si>
    <t>ფ.პ. ზურაბი მამაცაშვილი</t>
  </si>
  <si>
    <t>შენობის შეკეთება და ტექნიკური მომსახურება</t>
  </si>
  <si>
    <t>შპს აკა გრუპი</t>
  </si>
  <si>
    <t>ფ,პ, ამირან ჩიღოშვილი</t>
  </si>
  <si>
    <t>ი.მ. ქეთევან ნინიძე</t>
  </si>
  <si>
    <t>ფ.პ. გიორგი აფაქიძე</t>
  </si>
  <si>
    <t xml:space="preserve">Witness Media, LLC </t>
  </si>
  <si>
    <t xml:space="preserve">რეკლამის განთავსება „Business Travel Russia“ </t>
  </si>
  <si>
    <t>შპს დუდა თრეველი</t>
  </si>
  <si>
    <t>ფ.პ. ია ღებრანძე</t>
  </si>
  <si>
    <t>შპს მეგრულ-ლაზური2</t>
  </si>
  <si>
    <t>შპს არგო მენეჯმენტი</t>
  </si>
  <si>
    <t>შპს პოლიფონია</t>
  </si>
  <si>
    <t>China National Research Institute of Food and Fermentation Industries Corporation Limited</t>
  </si>
  <si>
    <t>ქართული ღვინის შესყიდვა და ადგილზე მიწოდება COTTM 2018</t>
  </si>
  <si>
    <t>შპს ვარძია რეზორტი</t>
  </si>
  <si>
    <t>შპს ინტერჯორჯია</t>
  </si>
  <si>
    <t>ფ.პ. თინათინი იდიძე</t>
  </si>
  <si>
    <t xml:space="preserve">Travelscape, LLC </t>
  </si>
  <si>
    <t>CMR180076772</t>
  </si>
  <si>
    <t>26.03.2018</t>
  </si>
  <si>
    <t>CMR180079752</t>
  </si>
  <si>
    <t xml:space="preserve"> CMR180079727</t>
  </si>
  <si>
    <t>28.03.2018</t>
  </si>
  <si>
    <t>CMR180077784</t>
  </si>
  <si>
    <t>CMR180077436</t>
  </si>
  <si>
    <t>CMR180076042</t>
  </si>
  <si>
    <t>29.03.2018</t>
  </si>
  <si>
    <t>CMR180078033</t>
  </si>
  <si>
    <t>CMR180078428</t>
  </si>
  <si>
    <t>30.03.2018</t>
  </si>
  <si>
    <t>CMR180078511</t>
  </si>
  <si>
    <t xml:space="preserve"> CMR180080662</t>
  </si>
  <si>
    <t>CMR180080357</t>
  </si>
  <si>
    <t>CMR180080363</t>
  </si>
  <si>
    <t>CMR180080345</t>
  </si>
  <si>
    <t>CMR180080990</t>
  </si>
  <si>
    <t>02.04.2018</t>
  </si>
  <si>
    <t>CMR180080362</t>
  </si>
  <si>
    <t>CMR180080993</t>
  </si>
  <si>
    <t>03.04.2018</t>
  </si>
  <si>
    <t>CMR180080141</t>
  </si>
  <si>
    <t>CMR180079979</t>
  </si>
  <si>
    <t>SPA180002616</t>
  </si>
  <si>
    <t>CMR180079989</t>
  </si>
  <si>
    <t>04.04.2018</t>
  </si>
  <si>
    <t>გ.მ.</t>
  </si>
  <si>
    <t xml:space="preserve">საქართველოს კანონი სახელმწიფო შესყიდვების შესახებ, მე-3 მუხლის 1  პუნქტის "ს1" ქვეპუნქტი </t>
  </si>
  <si>
    <t>CMR180080910</t>
  </si>
  <si>
    <t>05.04.2018</t>
  </si>
  <si>
    <t>31.12.201</t>
  </si>
  <si>
    <t>CMR180082284</t>
  </si>
  <si>
    <t>10.04.2018</t>
  </si>
  <si>
    <t>11.04.2018</t>
  </si>
  <si>
    <t>CMR180082088</t>
  </si>
  <si>
    <t>31.12.2108</t>
  </si>
  <si>
    <t>11,04.2018</t>
  </si>
  <si>
    <t xml:space="preserve">10`978.88 </t>
  </si>
  <si>
    <t>14`622.56</t>
  </si>
  <si>
    <t>4`500.00</t>
  </si>
  <si>
    <t>63`920.01</t>
  </si>
  <si>
    <t>50`391.25</t>
  </si>
  <si>
    <t xml:space="preserve">2`600.00 </t>
  </si>
  <si>
    <t>4`950.00</t>
  </si>
  <si>
    <t xml:space="preserve">31`640.00 </t>
  </si>
  <si>
    <t>2`297.70</t>
  </si>
  <si>
    <t>8`270.00</t>
  </si>
  <si>
    <t>2`393.50</t>
  </si>
  <si>
    <t>CMR180054067</t>
  </si>
  <si>
    <t>CMR180081260</t>
  </si>
  <si>
    <t>27`799.20</t>
  </si>
  <si>
    <t xml:space="preserve">2`900.00 </t>
  </si>
  <si>
    <t>CMR180081261</t>
  </si>
  <si>
    <t>CMR180081839</t>
  </si>
  <si>
    <t>CMR180082716</t>
  </si>
  <si>
    <t>შპს "INK"</t>
  </si>
  <si>
    <t>სარეკლამო კამპანია საბორტე ჟურნალში</t>
  </si>
  <si>
    <t>24`446.07</t>
  </si>
  <si>
    <t>1`880.00</t>
  </si>
  <si>
    <t>1`725.00</t>
  </si>
  <si>
    <t>შპს "Oriental Hotels Co. – Four Points by Sheraton Kuwait"</t>
  </si>
  <si>
    <t>შპს "Oryx Rotana"</t>
  </si>
  <si>
    <t>ფ.პ. დავით ნოზაძე</t>
  </si>
  <si>
    <t>შპს "ვითი ჯგუფი"</t>
  </si>
  <si>
    <t>შპს "ვარძია რეზორტი"</t>
  </si>
  <si>
    <t>ფ.პ. ნანა ხუსკივაძე</t>
  </si>
  <si>
    <t>ი.მ. ელიზბარ კუტალია</t>
  </si>
  <si>
    <t>ფ.პ ამირან ჩიღოშვილი</t>
  </si>
  <si>
    <t>პრეზენტაციის ორგანიზება ქუვეითში</t>
  </si>
  <si>
    <t>პრეზენტაციის ორგანიზება კატარში</t>
  </si>
  <si>
    <t>01.05.2018</t>
  </si>
  <si>
    <t>CMR180094305</t>
  </si>
  <si>
    <t>02.05.2018</t>
  </si>
  <si>
    <t>CMR180094394</t>
  </si>
  <si>
    <t>04.05.2018</t>
  </si>
  <si>
    <t>სს საქართველოს სასტუმროები და სპა</t>
  </si>
  <si>
    <t>ინტერნეტ სარეკლამო კამპანია</t>
  </si>
  <si>
    <t>ფ.პ. Emilly Wood</t>
  </si>
  <si>
    <t>შპს "teenspirit ventures"</t>
  </si>
  <si>
    <t>არიოლ ი რეშკა - საზღვაო</t>
  </si>
  <si>
    <t>შპს "ინტეგრირებული ქართული სისტემები"</t>
  </si>
  <si>
    <t>სოციალური მედიის სამოქმედო ცენტრის აღჭურვა</t>
  </si>
  <si>
    <t>lonely planet</t>
  </si>
  <si>
    <t>შპს "ლეიქსაიდი"</t>
  </si>
  <si>
    <t xml:space="preserve">LTD tripadvisor </t>
  </si>
  <si>
    <t xml:space="preserve">სარეკლამო კამპანია </t>
  </si>
  <si>
    <t>NGC Europe LTD</t>
  </si>
  <si>
    <t>ფ.პ. ქეთევან ახობაძე</t>
  </si>
  <si>
    <t>შპს "გუდაური სქი რესორტი"</t>
  </si>
  <si>
    <t>ი.მ. მაია ხუციშვილი</t>
  </si>
  <si>
    <t>შპს "გეორგინა"</t>
  </si>
  <si>
    <t>კარის საკეტის შესყიდვა</t>
  </si>
  <si>
    <t>"International communications network group inc."</t>
  </si>
  <si>
    <t>სტენდის მშენებლობა ყაზახეთის გამოფენაზე</t>
  </si>
  <si>
    <t>შპს "კულინარიუმი"</t>
  </si>
  <si>
    <t>შპს "ხაშერია"</t>
  </si>
  <si>
    <t>შპს "ელექსირი"</t>
  </si>
  <si>
    <t>შპს "მუზეუმი"</t>
  </si>
  <si>
    <t>ი.მ. მაიკო ქავთარაძე</t>
  </si>
  <si>
    <t>შპს "სი თი აუტო"</t>
  </si>
  <si>
    <t>შპს "ქედი სტუდიო"</t>
  </si>
  <si>
    <t>ბეჭდვის მომსახურება</t>
  </si>
  <si>
    <t>შპს "კარგო ლოჯისთიქს გრუფ ჯორჯია"</t>
  </si>
  <si>
    <t>სტენდის მშენებლობა ბათუმის გამოფენაზე</t>
  </si>
  <si>
    <t>შპს "ვი თი ჯგუფი"</t>
  </si>
  <si>
    <t>"Euromedia HUB b.v."</t>
  </si>
  <si>
    <t>სარეკლამო კამპანია - ყაზახეთის ტელე-არხზე</t>
  </si>
  <si>
    <t>სარეკლამო კამპანია ჟურნალში Where</t>
  </si>
  <si>
    <t>შპს "ეს თი აი ჯორჯია"</t>
  </si>
  <si>
    <t>შპს "ალმა"</t>
  </si>
  <si>
    <t>სარეკლამო კამპანია ჩექინ ჯორჯიას ფარგლებში</t>
  </si>
  <si>
    <t>შპს 'კახური ტრადიციული მეღვინეობა"</t>
  </si>
  <si>
    <t>STR Global LTD</t>
  </si>
  <si>
    <t>სტატისტიკური მონაცემები</t>
  </si>
  <si>
    <t>შპს "Teenspirit Ventures"</t>
  </si>
  <si>
    <t>შპს "Agro Special Media BV"</t>
  </si>
  <si>
    <t>სარეკლამო კამპანია ჟურნალში - The Holland Times"</t>
  </si>
  <si>
    <t>სტენდის მშენებლობა ფრანქფურტის გამოფენაზე</t>
  </si>
  <si>
    <t>გრაფიკული პრეზენტაციის დამზადება</t>
  </si>
  <si>
    <t>შპს "ტერმინალ ვესტ თრეიდინგი"</t>
  </si>
  <si>
    <t>სხვა სამსენებლო მასალების შესყიდვა</t>
  </si>
  <si>
    <t>სილიკონის საპოხის შესყიდვა</t>
  </si>
  <si>
    <t>შპს "ჯითი ჰოლდინგი"</t>
  </si>
  <si>
    <t>ვარძიაში სპორტული ღონისძიების ორგანიზების მომსახურება</t>
  </si>
  <si>
    <t>შპს "აბასთუმანი რეზიდენსი"</t>
  </si>
  <si>
    <t>შპს "დუდა თრეველი"</t>
  </si>
  <si>
    <t>კომპიუტერების შესყიდვა</t>
  </si>
  <si>
    <t>შპს "აიპიემ კვლევები"</t>
  </si>
  <si>
    <t xml:space="preserve">მედია მონიტორინგის მომსახურების შესყიდვა </t>
  </si>
  <si>
    <t>საბურავების შესყიდვა</t>
  </si>
  <si>
    <t>შპს "ჯეო თაირს"</t>
  </si>
  <si>
    <t>თარგმნის მომსახურება</t>
  </si>
  <si>
    <t>შპს "ჭყონია და კომპანია"</t>
  </si>
  <si>
    <t>ი.მ. ალბერტ გუდაძე</t>
  </si>
  <si>
    <t>შპს "Azaiba Hotels LLC"</t>
  </si>
  <si>
    <t>პრეზენტაციის ორგანიზება მასკატში</t>
  </si>
  <si>
    <t>შპს "Travel marketing 2 Srls"</t>
  </si>
  <si>
    <t>პრეზენტაციის ორგანიზება რომსა და ბოლონიაში</t>
  </si>
  <si>
    <t>AVIAREPS AG</t>
  </si>
  <si>
    <t>პრეზენტაციის ორგანიზება ჩეხეთში, ავსტრიაში, ნიდერლანდებში, საფრანგეთში, ესპანეთში</t>
  </si>
  <si>
    <t>შპს "ენ-ჯი-ეს გრუპი"</t>
  </si>
  <si>
    <t>ფოტოაპარატისა და მისი აქსესუარების შესყიდვა</t>
  </si>
  <si>
    <t>ფ.პ. საბა სურმანიძე</t>
  </si>
  <si>
    <t>ვებ-დეველოპერის მომსახურება</t>
  </si>
  <si>
    <t>შპს "სუხიშვილები"</t>
  </si>
  <si>
    <t>ღვინის შესყიდვა ფრანქფურტის გამოფენაზე</t>
  </si>
  <si>
    <t>შპს "Al reef real estate Co."</t>
  </si>
  <si>
    <t>პრეზენტაციის ორგანიზება სალალაჰში</t>
  </si>
  <si>
    <t>შპს "დაბი გრუპ ჯორჯია"</t>
  </si>
  <si>
    <t>შპს "პოლიფონია"</t>
  </si>
  <si>
    <t>CMR180083950</t>
  </si>
  <si>
    <t>CMR180083965</t>
  </si>
  <si>
    <t>CMR180083964</t>
  </si>
  <si>
    <t>CMR180083913</t>
  </si>
  <si>
    <t>CMR180083721</t>
  </si>
  <si>
    <t>CMR180083727</t>
  </si>
  <si>
    <t>CMR180083732</t>
  </si>
  <si>
    <t>CMR180087627</t>
  </si>
  <si>
    <t>CMR180087630</t>
  </si>
  <si>
    <t>CMR180085191</t>
  </si>
  <si>
    <t>CMR180087621</t>
  </si>
  <si>
    <t>CMR180087645</t>
  </si>
  <si>
    <t>CMR180087105</t>
  </si>
  <si>
    <t>CMR180087052</t>
  </si>
  <si>
    <t>CMR180087091</t>
  </si>
  <si>
    <t>CMR180087081</t>
  </si>
  <si>
    <t>CMR180084301</t>
  </si>
  <si>
    <t>CMR180083779</t>
  </si>
  <si>
    <t>CMR180087632</t>
  </si>
  <si>
    <t>12.04.2018</t>
  </si>
  <si>
    <t>CMR180083507</t>
  </si>
  <si>
    <t>CMR180086646</t>
  </si>
  <si>
    <t>CMR180086108</t>
  </si>
  <si>
    <t>CMR180084864</t>
  </si>
  <si>
    <t>CMR180087212</t>
  </si>
  <si>
    <t>CMR180085527</t>
  </si>
  <si>
    <t>CMR180087634</t>
  </si>
  <si>
    <t>CMR180086870</t>
  </si>
  <si>
    <t>CMR180087639</t>
  </si>
  <si>
    <t>CMR180086865</t>
  </si>
  <si>
    <t>CMR180087638</t>
  </si>
  <si>
    <t>13.04.2018</t>
  </si>
  <si>
    <t>CMR180089164</t>
  </si>
  <si>
    <t>CMR180087281</t>
  </si>
  <si>
    <t>CMR180086561</t>
  </si>
  <si>
    <t>CMR180087552</t>
  </si>
  <si>
    <t>CMR180087559</t>
  </si>
  <si>
    <t>CMR180088362</t>
  </si>
  <si>
    <t>CMR180088056</t>
  </si>
  <si>
    <t>CMR180088285</t>
  </si>
  <si>
    <t>CMR180087629</t>
  </si>
  <si>
    <t>CMR180088277</t>
  </si>
  <si>
    <t>CMR180086051</t>
  </si>
  <si>
    <t>CMR180085253</t>
  </si>
  <si>
    <t>CMR180086848</t>
  </si>
  <si>
    <t>CMR180087598</t>
  </si>
  <si>
    <t>CMR180087605</t>
  </si>
  <si>
    <t>16.04.2018</t>
  </si>
  <si>
    <t>CMR180089463</t>
  </si>
  <si>
    <t>CMR180090689</t>
  </si>
  <si>
    <t>CMR180090807</t>
  </si>
  <si>
    <t>CMR180090202</t>
  </si>
  <si>
    <t>CMR180090210</t>
  </si>
  <si>
    <t>CMR180090818</t>
  </si>
  <si>
    <t>18.04.2018</t>
  </si>
  <si>
    <t>SPA180002617</t>
  </si>
  <si>
    <t>CMR180087585</t>
  </si>
  <si>
    <t>CMR180091531</t>
  </si>
  <si>
    <t>CMR180088722</t>
  </si>
  <si>
    <t>CMR180088713</t>
  </si>
  <si>
    <t>CMR180087267</t>
  </si>
  <si>
    <t>CMR180087270</t>
  </si>
  <si>
    <t>CMR180087271</t>
  </si>
  <si>
    <t>CMR180086862</t>
  </si>
  <si>
    <t>CMR180088004</t>
  </si>
  <si>
    <t>CMR180091578</t>
  </si>
  <si>
    <t>CMR180091584</t>
  </si>
  <si>
    <t>19.04.2018</t>
  </si>
  <si>
    <t>CMR180091615</t>
  </si>
  <si>
    <t>CMR180090810</t>
  </si>
  <si>
    <t>20.04.2018</t>
  </si>
  <si>
    <t>CMR180091565</t>
  </si>
  <si>
    <t>23.04.2018</t>
  </si>
  <si>
    <t>CMR180088601</t>
  </si>
  <si>
    <t>CMR180088690</t>
  </si>
  <si>
    <t>CMR180088758</t>
  </si>
  <si>
    <t>CMR180088828</t>
  </si>
  <si>
    <t>24.04.2018</t>
  </si>
  <si>
    <t>CMR180091433</t>
  </si>
  <si>
    <t>CMR180091397</t>
  </si>
  <si>
    <t>CMR180091417</t>
  </si>
  <si>
    <t>25.04.2018</t>
  </si>
  <si>
    <t>SPA180003066</t>
  </si>
  <si>
    <t>26.04.2018</t>
  </si>
  <si>
    <t>CMR180092878</t>
  </si>
  <si>
    <t>CMR180093395</t>
  </si>
  <si>
    <t>27.04.2018</t>
  </si>
  <si>
    <t>CMR180094408</t>
  </si>
  <si>
    <t>CMR180093995</t>
  </si>
  <si>
    <t>CMR180096268</t>
  </si>
  <si>
    <t>30.04.2018</t>
  </si>
  <si>
    <t>CMR180095676</t>
  </si>
  <si>
    <t>CMR180097203</t>
  </si>
  <si>
    <t>CMR180094671</t>
  </si>
  <si>
    <t>CMR180094688</t>
  </si>
  <si>
    <t>CMR180094272</t>
  </si>
  <si>
    <t>CMR180093135</t>
  </si>
  <si>
    <t>CMR180093417</t>
  </si>
  <si>
    <t>CMR180093569</t>
  </si>
  <si>
    <t>CMR180095955</t>
  </si>
  <si>
    <t>CMR180095010</t>
  </si>
  <si>
    <t>CMR180096062</t>
  </si>
  <si>
    <t>CMR180096088</t>
  </si>
  <si>
    <t>CMR180096095</t>
  </si>
  <si>
    <t>CMR180095772</t>
  </si>
  <si>
    <t>CMR180095017</t>
  </si>
  <si>
    <t>CMR180098597</t>
  </si>
  <si>
    <t>CMR180098592</t>
  </si>
  <si>
    <t>CMR180098586</t>
  </si>
  <si>
    <t>CMR180098733</t>
  </si>
  <si>
    <t>CMR180098577</t>
  </si>
  <si>
    <t>CMR180097689</t>
  </si>
  <si>
    <t>CMR180097385</t>
  </si>
  <si>
    <t>CMR180097376</t>
  </si>
  <si>
    <t>CMR180098041</t>
  </si>
  <si>
    <t>CMR180097455</t>
  </si>
  <si>
    <t>CMR180098531</t>
  </si>
  <si>
    <t>CMR180097354</t>
  </si>
  <si>
    <t>CMR180098686</t>
  </si>
  <si>
    <t>CMR180098703</t>
  </si>
  <si>
    <t>CMR180097684</t>
  </si>
  <si>
    <t>CMR180095981</t>
  </si>
  <si>
    <t>CMR180095967</t>
  </si>
  <si>
    <t>CMR180098504</t>
  </si>
  <si>
    <t>CMR180098514</t>
  </si>
  <si>
    <t>CMR180098881</t>
  </si>
  <si>
    <t>CMR180098339</t>
  </si>
  <si>
    <t>CMR180098502</t>
  </si>
  <si>
    <t>CMR180098481</t>
  </si>
  <si>
    <t>CMR180098275</t>
  </si>
  <si>
    <t>CMR180098227</t>
  </si>
  <si>
    <t>CMR180097120</t>
  </si>
  <si>
    <t>CMR180096425</t>
  </si>
  <si>
    <t>CMR180098331</t>
  </si>
  <si>
    <t>07.05.2018</t>
  </si>
  <si>
    <t>CMR180095959</t>
  </si>
  <si>
    <t>CMR180096014</t>
  </si>
  <si>
    <t>CMR180096019</t>
  </si>
  <si>
    <t>spa180003826</t>
  </si>
  <si>
    <t>CMR180097694</t>
  </si>
  <si>
    <t>CMR180097369</t>
  </si>
  <si>
    <t>CMR180098031</t>
  </si>
  <si>
    <t>CMR180096328</t>
  </si>
  <si>
    <t>08.05.2018</t>
  </si>
  <si>
    <t>10.05.2018</t>
  </si>
  <si>
    <t>11.05.2018</t>
  </si>
  <si>
    <t>CMR180098518</t>
  </si>
  <si>
    <t>CMR180083938</t>
  </si>
  <si>
    <t>CMR180083930</t>
  </si>
  <si>
    <t>CMR180083923</t>
  </si>
  <si>
    <t>12`049.20</t>
  </si>
  <si>
    <t>10`384.00</t>
  </si>
  <si>
    <t>CMR180083485</t>
  </si>
  <si>
    <t>CMR180083510</t>
  </si>
  <si>
    <t>CMR180083505</t>
  </si>
  <si>
    <t>CMR180083927</t>
  </si>
  <si>
    <t>CMR180083953</t>
  </si>
  <si>
    <t>CMR180083952</t>
  </si>
  <si>
    <t>CMR180083951</t>
  </si>
  <si>
    <t xml:space="preserve">1`250.00 </t>
  </si>
  <si>
    <t>1`937.50</t>
  </si>
  <si>
    <t>20`296.00</t>
  </si>
  <si>
    <t>CMR180076643</t>
  </si>
  <si>
    <t>2`800.00</t>
  </si>
  <si>
    <t>3`142.10</t>
  </si>
  <si>
    <t>3`415.00</t>
  </si>
  <si>
    <t xml:space="preserve">2`370.00 </t>
  </si>
  <si>
    <t>3`412.50</t>
  </si>
  <si>
    <t>1`300.00</t>
  </si>
  <si>
    <t>3`350.00</t>
  </si>
  <si>
    <t xml:space="preserve">1`547.89 </t>
  </si>
  <si>
    <t xml:space="preserve">31`462.17 </t>
  </si>
  <si>
    <t>23`167.68</t>
  </si>
  <si>
    <t xml:space="preserve">1`000.00 </t>
  </si>
  <si>
    <t xml:space="preserve">2`200.00 </t>
  </si>
  <si>
    <t>2`187.50</t>
  </si>
  <si>
    <t>CMR180069219</t>
  </si>
  <si>
    <t>CMR180088050</t>
  </si>
  <si>
    <t>7`646.40</t>
  </si>
  <si>
    <t xml:space="preserve">2`050.00 </t>
  </si>
  <si>
    <t>4`900.00</t>
  </si>
  <si>
    <t xml:space="preserve"> 1`408.00</t>
  </si>
  <si>
    <t xml:space="preserve"> 1`500.00 </t>
  </si>
  <si>
    <t xml:space="preserve">1`194.16 </t>
  </si>
  <si>
    <t>13`583.00</t>
  </si>
  <si>
    <t>30`285.40</t>
  </si>
  <si>
    <t>1`199.56</t>
  </si>
  <si>
    <t xml:space="preserve">3`080.00 </t>
  </si>
  <si>
    <t>1`466.74</t>
  </si>
  <si>
    <t>28`651.57</t>
  </si>
  <si>
    <t>1`365.00</t>
  </si>
  <si>
    <t xml:space="preserve">17`200.00 </t>
  </si>
  <si>
    <t xml:space="preserve">5`890.00 </t>
  </si>
  <si>
    <t>3`895.51</t>
  </si>
  <si>
    <t>2`590.00</t>
  </si>
  <si>
    <t>21`077.50</t>
  </si>
  <si>
    <t xml:space="preserve">4`724.74 </t>
  </si>
  <si>
    <t xml:space="preserve">4`349.41 </t>
  </si>
  <si>
    <t>10`385.93</t>
  </si>
  <si>
    <t>1`859.91</t>
  </si>
  <si>
    <t>შპს "ჯითიერი"</t>
  </si>
  <si>
    <t>სს "ბორჯომი ლიკანი ინთერნეიშენალი"</t>
  </si>
  <si>
    <t>შპს "ჯიემთი სასტუმროები"</t>
  </si>
  <si>
    <t>შპს "ვიზარდ ივენთი"</t>
  </si>
  <si>
    <t>შპს "ეიდიესეს პრინტი"</t>
  </si>
  <si>
    <t>სარეკლამო ბანერის დამზადება</t>
  </si>
  <si>
    <t>შპს "პენსან ჯორჯია"</t>
  </si>
  <si>
    <t>სასტუმრო მომსახურება</t>
  </si>
  <si>
    <t>ფ.პ ნინო აღლაძე</t>
  </si>
  <si>
    <t>შპს ,,კანც სერვისი"</t>
  </si>
  <si>
    <t>კატრიჯების აღდგენა დამუხტვა</t>
  </si>
  <si>
    <t>სსიპ "საქართველოს საკანანომდებლო მაცნე"</t>
  </si>
  <si>
    <t>შპს "მგზავრები"</t>
  </si>
  <si>
    <t>შპს ,,წისქვილი ჯგუფი"</t>
  </si>
  <si>
    <t>26 მაისის ღონისძიების ორგანიზება</t>
  </si>
  <si>
    <t>შპს ,,დაბი გრუპ ჯორჯია"</t>
  </si>
  <si>
    <t>CMR180101750</t>
  </si>
  <si>
    <t>CMR180101791</t>
  </si>
  <si>
    <t>CMR180101044</t>
  </si>
  <si>
    <t>CMR180102439</t>
  </si>
  <si>
    <t>CMR180102467</t>
  </si>
  <si>
    <t>CMR180102504</t>
  </si>
  <si>
    <t>CMR180101007</t>
  </si>
  <si>
    <t>CMR180101757</t>
  </si>
  <si>
    <t>CMR180099708</t>
  </si>
  <si>
    <t>CMR180103359</t>
  </si>
  <si>
    <t>CMR180103312</t>
  </si>
  <si>
    <t>CMR180102865</t>
  </si>
  <si>
    <t>CMR180102506</t>
  </si>
  <si>
    <t>CMR180103344</t>
  </si>
  <si>
    <t>14.05.2018</t>
  </si>
  <si>
    <t>15.05.2018</t>
  </si>
  <si>
    <t>CMR180102289</t>
  </si>
  <si>
    <t>CMR180102493</t>
  </si>
  <si>
    <t>16.05.2018</t>
  </si>
  <si>
    <t>CMR180102500</t>
  </si>
  <si>
    <t>CMR180101679</t>
  </si>
  <si>
    <t>CMR180101677</t>
  </si>
  <si>
    <t>CMR180104013</t>
  </si>
  <si>
    <t>17.05.2018</t>
  </si>
  <si>
    <t>CMR180102508</t>
  </si>
  <si>
    <t>18.05.2018</t>
  </si>
  <si>
    <t>21.05.2018</t>
  </si>
  <si>
    <t>22.05.2018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</si>
  <si>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17 მაისის  #1088 განკარგულების საფუძველზე (SMP180001085 )</t>
  </si>
  <si>
    <t>23.05.2018</t>
  </si>
  <si>
    <t>CMR180104058</t>
  </si>
  <si>
    <t xml:space="preserve">1`348.00 </t>
  </si>
  <si>
    <t xml:space="preserve">63`112.00 </t>
  </si>
  <si>
    <t>CMR180065193</t>
  </si>
  <si>
    <t xml:space="preserve">1`444.32 </t>
  </si>
  <si>
    <t xml:space="preserve">7`378.12 </t>
  </si>
  <si>
    <t>70`599.79</t>
  </si>
  <si>
    <t>1`265.00</t>
  </si>
  <si>
    <t xml:space="preserve">2`540.00 </t>
  </si>
  <si>
    <t>1`200.00</t>
  </si>
  <si>
    <t xml:space="preserve">1`347`775.00 </t>
  </si>
  <si>
    <t xml:space="preserve">3`798`275.00 </t>
  </si>
  <si>
    <t xml:space="preserve">5`094.96 </t>
  </si>
  <si>
    <t xml:space="preserve">99`500.00 </t>
  </si>
  <si>
    <t xml:space="preserve">2`530.00 </t>
  </si>
  <si>
    <t xml:space="preserve">1`196.80 </t>
  </si>
  <si>
    <t>CMR180083029</t>
  </si>
  <si>
    <t>4`268.00</t>
  </si>
  <si>
    <t>39`102.48</t>
  </si>
  <si>
    <t>CMR180078201</t>
  </si>
  <si>
    <t xml:space="preserve"> 280`425.14 </t>
  </si>
  <si>
    <t>1`450.00</t>
  </si>
  <si>
    <t>1`105.00</t>
  </si>
  <si>
    <t xml:space="preserve">2`512.50 </t>
  </si>
  <si>
    <t xml:space="preserve">2`440.00 </t>
  </si>
  <si>
    <t>1`118.00</t>
  </si>
  <si>
    <t xml:space="preserve">4`500.00 </t>
  </si>
  <si>
    <t>4`820.00</t>
  </si>
  <si>
    <t xml:space="preserve"> 2`687.50 </t>
  </si>
  <si>
    <t xml:space="preserve">1`726.38 </t>
  </si>
  <si>
    <t>1`388.00</t>
  </si>
  <si>
    <t>CMR180104204</t>
  </si>
  <si>
    <t>CMR180104194</t>
  </si>
  <si>
    <t>CMR180106084</t>
  </si>
  <si>
    <t>CMR180106035</t>
  </si>
  <si>
    <t>CMR180106028</t>
  </si>
  <si>
    <t>CMR180106164</t>
  </si>
  <si>
    <t>CMR180106701</t>
  </si>
  <si>
    <t>CMR180107293</t>
  </si>
  <si>
    <t>CMR180106785</t>
  </si>
  <si>
    <t>CMR180106782</t>
  </si>
  <si>
    <t>CMR180109624</t>
  </si>
  <si>
    <t>CMR180109482</t>
  </si>
  <si>
    <t>CMR180106273</t>
  </si>
  <si>
    <t>CMR180106267</t>
  </si>
  <si>
    <t>CMR180107303</t>
  </si>
  <si>
    <t>CMR180108052</t>
  </si>
  <si>
    <t>CMR180109623</t>
  </si>
  <si>
    <t>CMR180106726</t>
  </si>
  <si>
    <t>CMR180108934</t>
  </si>
  <si>
    <t>CMR180107265</t>
  </si>
  <si>
    <t>CMR180105265</t>
  </si>
  <si>
    <t>CMR180110406</t>
  </si>
  <si>
    <t>CMR180110168</t>
  </si>
  <si>
    <t>CMR180110195</t>
  </si>
  <si>
    <t>CMR180110368</t>
  </si>
  <si>
    <t>CMR180110327</t>
  </si>
  <si>
    <t>CMR180110160</t>
  </si>
  <si>
    <t>CMR180110377</t>
  </si>
  <si>
    <t>CMR180110818</t>
  </si>
  <si>
    <t>CMR180110865</t>
  </si>
  <si>
    <t>CMR180110876</t>
  </si>
  <si>
    <t>CMR180110887</t>
  </si>
  <si>
    <t>CMR180110890</t>
  </si>
  <si>
    <t>CMR180110898</t>
  </si>
  <si>
    <t>CMR180111192</t>
  </si>
  <si>
    <t>CMR180111070</t>
  </si>
  <si>
    <t>CMR180106997</t>
  </si>
  <si>
    <t>CMR180111046</t>
  </si>
  <si>
    <t>CMR180111074</t>
  </si>
  <si>
    <t>CMR180111210</t>
  </si>
  <si>
    <t>CMR180111095</t>
  </si>
  <si>
    <t>CMR180111204</t>
  </si>
  <si>
    <t>CMR180111170</t>
  </si>
  <si>
    <t>CMR180111245</t>
  </si>
  <si>
    <t>CMR180110376</t>
  </si>
  <si>
    <t>CMR180111218</t>
  </si>
  <si>
    <t>CMR180111079</t>
  </si>
  <si>
    <t>CMR180111222</t>
  </si>
  <si>
    <t>CMR180114202</t>
  </si>
  <si>
    <t>CMR180114204</t>
  </si>
  <si>
    <t>CMR180114200</t>
  </si>
  <si>
    <t>CMR180110790</t>
  </si>
  <si>
    <t>CMR180112645</t>
  </si>
  <si>
    <t>CMR180112617</t>
  </si>
  <si>
    <t>CMR180111040</t>
  </si>
  <si>
    <t>CMR180111047</t>
  </si>
  <si>
    <t>CMR180111050</t>
  </si>
  <si>
    <t>CMR180111062</t>
  </si>
  <si>
    <t>CMR180114728</t>
  </si>
  <si>
    <t>CMR180114661</t>
  </si>
  <si>
    <t>CMR180114502</t>
  </si>
  <si>
    <t>CMR180114866</t>
  </si>
  <si>
    <t>CMR180114869</t>
  </si>
  <si>
    <t>CMR180114878</t>
  </si>
  <si>
    <t>CMR180114886</t>
  </si>
  <si>
    <t>CMR180115217</t>
  </si>
  <si>
    <t>CMR180115207</t>
  </si>
  <si>
    <t>CMR180114936</t>
  </si>
  <si>
    <t>CMR180116818</t>
  </si>
  <si>
    <t>CMR180116809</t>
  </si>
  <si>
    <t>CMR180113284</t>
  </si>
  <si>
    <t>CMR180113306</t>
  </si>
  <si>
    <t>CMR180114810</t>
  </si>
  <si>
    <t>CMR180114725</t>
  </si>
  <si>
    <t>CMR180114739</t>
  </si>
  <si>
    <t>CMR180116802</t>
  </si>
  <si>
    <t>CMR180114982</t>
  </si>
  <si>
    <t>CMR180117381</t>
  </si>
  <si>
    <t>33`646.80</t>
  </si>
  <si>
    <t xml:space="preserve"> 2`581.07</t>
  </si>
  <si>
    <t>3`150.00</t>
  </si>
  <si>
    <t xml:space="preserve">11`074.20 </t>
  </si>
  <si>
    <t>1`970.00</t>
  </si>
  <si>
    <t>3`146.00</t>
  </si>
  <si>
    <t xml:space="preserve"> 1`680.00 </t>
  </si>
  <si>
    <t xml:space="preserve">8`598.00 </t>
  </si>
  <si>
    <t>28`718.00</t>
  </si>
  <si>
    <t>25`630.50</t>
  </si>
  <si>
    <t xml:space="preserve">1`940.87 </t>
  </si>
  <si>
    <t>2`964.16</t>
  </si>
  <si>
    <t>3`280.00</t>
  </si>
  <si>
    <t xml:space="preserve"> 1`975.00</t>
  </si>
  <si>
    <t xml:space="preserve">1`175.00 </t>
  </si>
  <si>
    <t>ფ.პ. ნინო ბრეგაძე</t>
  </si>
  <si>
    <t>შპს "თბილისის სახელმწიფო საკონცეტრო დარბაზი"</t>
  </si>
  <si>
    <t>შპს "სიღნაღი ჰოტელ"</t>
  </si>
  <si>
    <t>cccსარესტორნო მომსახურება</t>
  </si>
  <si>
    <t>შპს "ვარძიარეზორტი"</t>
  </si>
  <si>
    <t>შპს "ყვარლის ედემი"</t>
  </si>
  <si>
    <t>შპს "აკა გრუპი"</t>
  </si>
  <si>
    <t>შპს "Euromedia hub B.V."</t>
  </si>
  <si>
    <t>სარეკლამო კამპანია - გადაცემები</t>
  </si>
  <si>
    <t>შპს "ზურულდი"</t>
  </si>
  <si>
    <t>შპს "აჭარა +"</t>
  </si>
  <si>
    <t>შპს "ჯითიერ"</t>
  </si>
  <si>
    <t>სარეკლამო კამპანია- ჟურნაში ინტერიერი</t>
  </si>
  <si>
    <t>ჰაერის კომპრესორის შესყიდვა</t>
  </si>
  <si>
    <t>შპს "ოქროსთან"</t>
  </si>
  <si>
    <t>ამხანაგობა "კულინარიუმ ქუქინგ სქული"</t>
  </si>
  <si>
    <t>563/1</t>
  </si>
  <si>
    <t>თარჯიმნის მომსაურება</t>
  </si>
  <si>
    <t>ი.მ. ზვიადი ბეჭვაია - თრეველისთ ჯორჯია</t>
  </si>
  <si>
    <t>ი.მ. ავთანდილ ჭინჭარაული</t>
  </si>
  <si>
    <t>შპს "სახანძრო სიგნალიზაცია - ნაპერწკალი"</t>
  </si>
  <si>
    <t xml:space="preserve">საევაკუაციო გეგმის შედგენა </t>
  </si>
  <si>
    <t>შპს "ბრენდ ტ"</t>
  </si>
  <si>
    <t>მანიშნებლების შესყიდვა</t>
  </si>
  <si>
    <t>ფ.პ. ალექსანდრე გველესიანი</t>
  </si>
  <si>
    <t>შპს "ტექნოჰაუსი"</t>
  </si>
  <si>
    <t>კონდენციონერის შესყიდვა</t>
  </si>
  <si>
    <t>ი.მ. ციალა ბახტურიძე</t>
  </si>
  <si>
    <t>შპს "სახანძრო სიგნალიზაცია ნაპერწკალი"</t>
  </si>
  <si>
    <t>არქიტექტურული ნახაზი</t>
  </si>
  <si>
    <t>შპს "ვოიაჟერი"</t>
  </si>
  <si>
    <t>შპს "კულინარიუმ ქუქინგ სქული"</t>
  </si>
  <si>
    <t>შპს "სამციხე"</t>
  </si>
  <si>
    <t>ფ.პ. ანდრო ერაძე</t>
  </si>
  <si>
    <t>ი.მ. თეიმურაზ გუგეშაშვილი</t>
  </si>
  <si>
    <t>ი.მ. დიომიდე დვალი</t>
  </si>
  <si>
    <t>შპს " კახელები"</t>
  </si>
  <si>
    <t>შპს "ალმანიკო"</t>
  </si>
  <si>
    <t>ავტომობილების რეცხვის მომსახურება</t>
  </si>
  <si>
    <t>ი.მ. ფიქრია წვერავა</t>
  </si>
  <si>
    <t>შპს "ობენე"</t>
  </si>
  <si>
    <t>შპს "ვილლა იყალთო ჰო-რე-კა"</t>
  </si>
  <si>
    <t>შპს "კულინამიუმი"</t>
  </si>
  <si>
    <t>ი.მ. მანანა მარგოშვილი</t>
  </si>
  <si>
    <t>ფ.პ, ელენე რაქვიაშვილი</t>
  </si>
  <si>
    <t>ი.მ. ნიკოლოზ ბენიძე</t>
  </si>
  <si>
    <t>ი.მ. რამაზი კვატაშიძე</t>
  </si>
  <si>
    <t>შპს "ვინერია"</t>
  </si>
  <si>
    <t>შპს "აჭარა"</t>
  </si>
  <si>
    <t>შპს "კოპალა"</t>
  </si>
  <si>
    <t>შპს "არგო ინვესტმენტი"</t>
  </si>
  <si>
    <t>ი.მ. თამარ ღვალაძე</t>
  </si>
  <si>
    <t>შპს "გუდ თრეველი"</t>
  </si>
  <si>
    <t>შპს ,,ეს 4ეს"</t>
  </si>
  <si>
    <t>საინფორმაციო ცენტრებისათვის სამეთვალყურეო კამერების  და ქსელური ჩამწერების შესყიდვა</t>
  </si>
  <si>
    <t>შპს ,,გზაჯვარედინი"</t>
  </si>
  <si>
    <t>ღვინის გზის პროექტის მანიშნებლების შესყიდვა</t>
  </si>
  <si>
    <t>შპს ,,ვილლა იყალთო ჰო-რე-კა"</t>
  </si>
  <si>
    <t>ფ.პ გიორგი აბულაძე</t>
  </si>
  <si>
    <t>ამხანაგობა ,,თუშეთი 2016"</t>
  </si>
  <si>
    <t>შპს ,,ღვინის კომპანია შუმი"</t>
  </si>
  <si>
    <t>ი.მ ნანული ჭელიძე</t>
  </si>
  <si>
    <t>შპს ,,ელექტრონიკი"</t>
  </si>
  <si>
    <t>ამხანაგობა ,,თუშური ფარდაგი"</t>
  </si>
  <si>
    <t>შპს ,,ქართული რესტორანი"</t>
  </si>
  <si>
    <r>
      <t>შპს ,,კ &amp; მ რესტორნები K &amp; M Restaurants“</t>
    </r>
    <r>
      <rPr>
        <sz val="8"/>
        <color theme="1"/>
        <rFont val="Calibri"/>
        <family val="2"/>
        <charset val="204"/>
        <scheme val="minor"/>
      </rPr>
      <t> </t>
    </r>
    <r>
      <rPr>
        <sz val="8"/>
        <color theme="1"/>
        <rFont val="Sylfaen"/>
        <family val="1"/>
        <charset val="204"/>
      </rPr>
      <t xml:space="preserve"> </t>
    </r>
  </si>
  <si>
    <t>შპს ,,აი სი არ ფუუდ ენდ ბევერეჯ</t>
  </si>
  <si>
    <t>შპს ,,კულინარიუმი"</t>
  </si>
  <si>
    <t>შპს ფოლკ გარდენ ფაინ ფუდ ენდ კატერინგ </t>
  </si>
  <si>
    <t>შპს ,,დუდა თრეველი"</t>
  </si>
  <si>
    <t>შპს ,,ბ და რ ბიზნესი</t>
  </si>
  <si>
    <t>ი.მ ალექსანდრე შერვაშიძე</t>
  </si>
  <si>
    <t>შპს ,,ხიდი 206"</t>
  </si>
  <si>
    <t>ფ.პ ალექსანდრე გველესიანი</t>
  </si>
  <si>
    <t>შპს ,,ნივადა გრუპი"</t>
  </si>
  <si>
    <t>სს ,,საქართველოს სასტუმროები და სპა"</t>
  </si>
  <si>
    <t>შპს "პროსერვისი"</t>
  </si>
  <si>
    <t>ფ.პ ზურაბი მამაცაშვილი</t>
  </si>
  <si>
    <t xml:space="preserve">შენობის მოწყობილობების შეკეკეთება </t>
  </si>
  <si>
    <t>შპს ,,ჰორიზონტი"</t>
  </si>
  <si>
    <t>შპს ,,კახური ტრადიციული მეღვინეობა"</t>
  </si>
  <si>
    <t>ფ.პ დავით ნოზაძე</t>
  </si>
  <si>
    <t>შპს ,,სამება"</t>
  </si>
  <si>
    <t>24.05.2018</t>
  </si>
  <si>
    <t>SPA180003823</t>
  </si>
  <si>
    <t>CMR180110211</t>
  </si>
  <si>
    <t>CMR180109289</t>
  </si>
  <si>
    <t>25.05.2018</t>
  </si>
  <si>
    <t>CMR180109206</t>
  </si>
  <si>
    <t>CMR180108059</t>
  </si>
  <si>
    <t>CMR180108064</t>
  </si>
  <si>
    <t>CMR180111100</t>
  </si>
  <si>
    <t>28.05.2018</t>
  </si>
  <si>
    <t>29.05.2018</t>
  </si>
  <si>
    <t>31.05.2018</t>
  </si>
  <si>
    <t>01.06.2018</t>
  </si>
  <si>
    <t>CMR180111055</t>
  </si>
  <si>
    <t>CMR180114023</t>
  </si>
  <si>
    <t>CMR180113912</t>
  </si>
  <si>
    <t>04.06.2018</t>
  </si>
  <si>
    <t>05.06.2018</t>
  </si>
  <si>
    <t>06.06.2018</t>
  </si>
  <si>
    <t>CMR180117422</t>
  </si>
  <si>
    <t>07.06.2018</t>
  </si>
  <si>
    <t>CMR180115802</t>
  </si>
  <si>
    <t>08.06.2018</t>
  </si>
  <si>
    <t>CMR180116831</t>
  </si>
  <si>
    <t>CMR180116871</t>
  </si>
  <si>
    <t>CMR180118358</t>
  </si>
  <si>
    <t>CMR180118332</t>
  </si>
  <si>
    <t>11.06.2018</t>
  </si>
  <si>
    <t>CMR180118123</t>
  </si>
  <si>
    <t>CMR180118131</t>
  </si>
  <si>
    <t>CMR180117416</t>
  </si>
  <si>
    <t xml:space="preserve"> CMR180118137</t>
  </si>
  <si>
    <t>CMR180117330</t>
  </si>
  <si>
    <t>CMR180116842</t>
  </si>
  <si>
    <t>CMR180117486</t>
  </si>
  <si>
    <t>CMR180119537</t>
  </si>
  <si>
    <t>CMR180120101</t>
  </si>
  <si>
    <t>CMR180118758</t>
  </si>
  <si>
    <t xml:space="preserve"> CMR180120202</t>
  </si>
  <si>
    <t>12.06.2018</t>
  </si>
  <si>
    <t>CMR180115955</t>
  </si>
  <si>
    <t>13.06.2018</t>
  </si>
  <si>
    <t xml:space="preserve"> CMR180118890</t>
  </si>
  <si>
    <t xml:space="preserve"> CMR180118900</t>
  </si>
  <si>
    <t>CMR180117495</t>
  </si>
  <si>
    <t xml:space="preserve"> CMR180118112</t>
  </si>
  <si>
    <t>spa180004770</t>
  </si>
  <si>
    <t>14.06.2018</t>
  </si>
  <si>
    <t>CMR180120910</t>
  </si>
  <si>
    <t>CMR180120300</t>
  </si>
  <si>
    <t>CMR180120743</t>
  </si>
  <si>
    <t>CMR180120293</t>
  </si>
  <si>
    <t>CMR180120299</t>
  </si>
  <si>
    <t xml:space="preserve">CMR180120290 </t>
  </si>
  <si>
    <t>CMR180120297</t>
  </si>
  <si>
    <t>CMR180120000</t>
  </si>
  <si>
    <t>CMR180119500</t>
  </si>
  <si>
    <t>CMR180119986</t>
  </si>
  <si>
    <t>15.06.2018</t>
  </si>
  <si>
    <t>CMR180121259</t>
  </si>
  <si>
    <t>CMR180121684</t>
  </si>
  <si>
    <t>CMR180121667</t>
  </si>
  <si>
    <t>CMR180121578</t>
  </si>
  <si>
    <t>CMR180121239</t>
  </si>
  <si>
    <t>CMR180118189</t>
  </si>
  <si>
    <t xml:space="preserve"> CMR180120150</t>
  </si>
  <si>
    <t>CMR180119559</t>
  </si>
  <si>
    <t>CMR180118698</t>
  </si>
  <si>
    <t xml:space="preserve"> CMR180118876</t>
  </si>
  <si>
    <t>CMR180118706</t>
  </si>
  <si>
    <t>18.06.2018</t>
  </si>
  <si>
    <t>19.06.2018</t>
  </si>
  <si>
    <t>CMR180119570</t>
  </si>
  <si>
    <t>CMR180119576</t>
  </si>
  <si>
    <t>CMR180119564</t>
  </si>
  <si>
    <t>CMR180119580</t>
  </si>
  <si>
    <t>20.06.2018</t>
  </si>
  <si>
    <t>CMR180121312</t>
  </si>
  <si>
    <t>CMR180121334</t>
  </si>
  <si>
    <t>21.06.2018</t>
  </si>
  <si>
    <t>22.06.2018</t>
  </si>
  <si>
    <t xml:space="preserve">1`400.00 </t>
  </si>
  <si>
    <t>CMR180101774</t>
  </si>
  <si>
    <t>CMR180101765</t>
  </si>
  <si>
    <t>3`360.00</t>
  </si>
  <si>
    <t>1`340.00</t>
  </si>
  <si>
    <t>5`900.00</t>
  </si>
  <si>
    <t>CMR180099625</t>
  </si>
  <si>
    <t>CMR180099629</t>
  </si>
  <si>
    <t>1`178.50</t>
  </si>
  <si>
    <t>5`250.00</t>
  </si>
  <si>
    <t>16`634.70</t>
  </si>
  <si>
    <t xml:space="preserve">2`340.00 </t>
  </si>
  <si>
    <t>10`168.00</t>
  </si>
  <si>
    <t>224`906.11</t>
  </si>
  <si>
    <t xml:space="preserve">3`097.50 </t>
  </si>
  <si>
    <t>6`000.00</t>
  </si>
  <si>
    <t>2`950.00</t>
  </si>
  <si>
    <t>3`500.00</t>
  </si>
  <si>
    <t xml:space="preserve"> 5`455.00 </t>
  </si>
  <si>
    <t>2`040.00</t>
  </si>
  <si>
    <t>2`275.00</t>
  </si>
  <si>
    <t xml:space="preserve"> 2`592.50 </t>
  </si>
  <si>
    <t>1`610.00</t>
  </si>
  <si>
    <t xml:space="preserve">3`200.00 </t>
  </si>
  <si>
    <t>1`950.00</t>
  </si>
  <si>
    <t>1`807.50</t>
  </si>
  <si>
    <t>10`704.96</t>
  </si>
  <si>
    <t xml:space="preserve">6`393.42 </t>
  </si>
  <si>
    <t xml:space="preserve">9`136.36 </t>
  </si>
  <si>
    <t>1`699.20</t>
  </si>
  <si>
    <t>1`180.00</t>
  </si>
  <si>
    <t>23`923.20</t>
  </si>
  <si>
    <t>2`985.00</t>
  </si>
  <si>
    <t>1`885.00</t>
  </si>
  <si>
    <t>2`062.50</t>
  </si>
  <si>
    <t>1`150.00</t>
  </si>
  <si>
    <t>4`656.00</t>
  </si>
  <si>
    <t>3`540.00</t>
  </si>
  <si>
    <t>344`846.67</t>
  </si>
  <si>
    <t xml:space="preserve">CMR180101679 </t>
  </si>
  <si>
    <t>2`360.00</t>
  </si>
  <si>
    <t>1`327.00</t>
  </si>
  <si>
    <t>6`240.00</t>
  </si>
  <si>
    <t>1`900.00</t>
  </si>
  <si>
    <t>1`650.00</t>
  </si>
  <si>
    <t xml:space="preserve">1`412.50 </t>
  </si>
  <si>
    <t xml:space="preserve">4`000.00 </t>
  </si>
  <si>
    <t xml:space="preserve">7`000.00 </t>
  </si>
  <si>
    <t>1`687.50</t>
  </si>
  <si>
    <t>5`947.20</t>
  </si>
  <si>
    <t>20`603.33</t>
  </si>
  <si>
    <t>მე-3 კლასის მაღალი გამავლობის მსუბუქი ავტომობილის ტექნიკური მომსახურება</t>
  </si>
  <si>
    <t>CMR160053737</t>
  </si>
  <si>
    <t>1`560.00</t>
  </si>
  <si>
    <t>7`542.00</t>
  </si>
  <si>
    <t xml:space="preserve">5`037.00 </t>
  </si>
  <si>
    <t xml:space="preserve">1`390.00 </t>
  </si>
  <si>
    <t>1`320.00</t>
  </si>
  <si>
    <t>2`550.00</t>
  </si>
  <si>
    <t>1`140.00</t>
  </si>
  <si>
    <t>2`738.05</t>
  </si>
  <si>
    <t>CMR180121281</t>
  </si>
  <si>
    <t>2`250.00</t>
  </si>
  <si>
    <t>CMR180121807</t>
  </si>
  <si>
    <t>CMR180120916</t>
  </si>
  <si>
    <t>CMR180120913</t>
  </si>
  <si>
    <t xml:space="preserve">1`700.00 </t>
  </si>
  <si>
    <t>1`268.60</t>
  </si>
  <si>
    <t>1`980.00</t>
  </si>
  <si>
    <t xml:space="preserve">2`891.00 </t>
  </si>
  <si>
    <t>CMR180121806</t>
  </si>
  <si>
    <t>CMR180121802</t>
  </si>
  <si>
    <t>CMR180121805</t>
  </si>
  <si>
    <t>CMR180121809</t>
  </si>
  <si>
    <t xml:space="preserve"> 3`750.00 </t>
  </si>
  <si>
    <t xml:space="preserve">3`150.00 </t>
  </si>
  <si>
    <t>6`300.00</t>
  </si>
  <si>
    <t>CMR180124198</t>
  </si>
  <si>
    <t>CMR180124331</t>
  </si>
  <si>
    <t>CMR180124173</t>
  </si>
  <si>
    <t>CMR180124180</t>
  </si>
  <si>
    <t>CMR180122866</t>
  </si>
  <si>
    <t xml:space="preserve">2`500.00 </t>
  </si>
  <si>
    <t>CMR180122838</t>
  </si>
  <si>
    <t>CMR180122469</t>
  </si>
  <si>
    <t xml:space="preserve">1`844.00 </t>
  </si>
  <si>
    <t>1`690.92</t>
  </si>
  <si>
    <t>CMR180054366</t>
  </si>
  <si>
    <t>CMR180054356</t>
  </si>
  <si>
    <t xml:space="preserve">2`832.00 </t>
  </si>
  <si>
    <t>3`130.00</t>
  </si>
  <si>
    <t>11`890.00</t>
  </si>
  <si>
    <t>1`196.46</t>
  </si>
  <si>
    <t>1`808.10</t>
  </si>
  <si>
    <t>2`340.00</t>
  </si>
  <si>
    <t xml:space="preserve">1`590.00 </t>
  </si>
  <si>
    <t>CMR180123642</t>
  </si>
  <si>
    <t>CMR180123562</t>
  </si>
  <si>
    <t>CMR180123602</t>
  </si>
  <si>
    <t>CMR180123598</t>
  </si>
  <si>
    <t>CMR180125080</t>
  </si>
  <si>
    <t>CMR180124887</t>
  </si>
  <si>
    <t>CMR180124590</t>
  </si>
  <si>
    <t>CMR180124574</t>
  </si>
  <si>
    <t>CMR180123308</t>
  </si>
  <si>
    <t>CMR180125372</t>
  </si>
  <si>
    <t>CMR180125375</t>
  </si>
  <si>
    <t>CMR180123480</t>
  </si>
  <si>
    <t>CMR180125519</t>
  </si>
  <si>
    <t>CMR180125532</t>
  </si>
  <si>
    <t>CMR180123788</t>
  </si>
  <si>
    <t>CMR180123801</t>
  </si>
  <si>
    <t>CMR180123672</t>
  </si>
  <si>
    <t>CMR180123035</t>
  </si>
  <si>
    <t>CMR180126335</t>
  </si>
  <si>
    <t>CMR180124003</t>
  </si>
  <si>
    <t>სიგნალიზაციის აპარატურის შესყიდვა</t>
  </si>
  <si>
    <t>მონტაჟის მომსახურება</t>
  </si>
  <si>
    <t>შპს "საქკურმიწყალი"</t>
  </si>
  <si>
    <t>ურეკი შეკვეთილის კვლევა</t>
  </si>
  <si>
    <t>შპს "ტრაფიკ თრეველი"</t>
  </si>
  <si>
    <t>სამღებრო სამუშაოები</t>
  </si>
  <si>
    <t>სარეკლამო კამპანია ჟურნალში where</t>
  </si>
  <si>
    <t>შპს "გამომცემლობა ინდიგო"</t>
  </si>
  <si>
    <t>სარეკლამო კამპანია ჟურნალში ედვენჩერი</t>
  </si>
  <si>
    <t>სსიპ "სახელმწიფო სერვისების განვიტარების სააგენტო"</t>
  </si>
  <si>
    <t>აიდი წამკითხველების შესყიდვა</t>
  </si>
  <si>
    <t>ი.მ. ლევან მედულაშვილი</t>
  </si>
  <si>
    <t>კონდენციონერის შეკეთება</t>
  </si>
  <si>
    <t>შპს "მერსინ ტურიზი"</t>
  </si>
  <si>
    <t>შპს "გრანდ ჰოტელ უშბა"</t>
  </si>
  <si>
    <t>შპს "მარტვილი პალასი"</t>
  </si>
  <si>
    <t>ამხანაგობა "საოჯახო მარანი ოდა"</t>
  </si>
  <si>
    <t>ი.მ. ბელა კუპრავა</t>
  </si>
  <si>
    <t>შპს "ზუგდიდი ქალაქური"</t>
  </si>
  <si>
    <t>შპს "გ და ლ რესტორნები"</t>
  </si>
  <si>
    <t>შპს "ღVINO underground"</t>
  </si>
  <si>
    <t>შპს "ინი გრუპი"</t>
  </si>
  <si>
    <t>შპს "ბრიგიტი"</t>
  </si>
  <si>
    <t>შპს "ვინერეა"</t>
  </si>
  <si>
    <t>შპს "თაშრე"</t>
  </si>
  <si>
    <t>შპს "ქუქს"</t>
  </si>
  <si>
    <t>ააიპ საქართველოს სპელეოლოგთა კავშირი"</t>
  </si>
  <si>
    <t xml:space="preserve">ზემო სვანეთის სამთო-საფეხმავლო ბილიკების კვლევის მომსახურების შესყიდვა </t>
  </si>
  <si>
    <t>შპს "ადა"</t>
  </si>
  <si>
    <t>ლეპტოპის შესყიდვა</t>
  </si>
  <si>
    <t>შპს "თბილისის სასტრანსპორტო კომპანია"</t>
  </si>
  <si>
    <t>პარკირების ერთწლიანი საფასური</t>
  </si>
  <si>
    <t>შპს "ულტრა"</t>
  </si>
  <si>
    <t>უწყვეტი კვების წყაროს შესყიდვა</t>
  </si>
  <si>
    <t>ღიმილი გიბრუნდება სარეკლამო კამპანია</t>
  </si>
  <si>
    <t>შპს "ჩოფიკა"</t>
  </si>
  <si>
    <t>შპს "ბრიგიტე"</t>
  </si>
  <si>
    <t>ააიპ "ხელოვნების საერთაშორისო ცენტრი"</t>
  </si>
  <si>
    <t>ფ.პ. ნინო აღლაძე</t>
  </si>
  <si>
    <t xml:space="preserve">Motivate Publishing </t>
  </si>
  <si>
    <t>ღონისძიების ორგანიზება წიგნის პრეზენტაცია</t>
  </si>
  <si>
    <t>ი.მ. მარინა ზარიკაშვილი</t>
  </si>
  <si>
    <t>ამხანაგობა "საოჯახო სასტუმრო კოშა +"</t>
  </si>
  <si>
    <t>ი.მ. ნანა გოგოჭური</t>
  </si>
  <si>
    <t>სს "საქართველოს სასტუმროები და სპა</t>
  </si>
  <si>
    <t>შპს "ჯორჯიან ეარვეისი"</t>
  </si>
  <si>
    <t>შპს "თეგი"</t>
  </si>
  <si>
    <t>შპს "ვებერი"</t>
  </si>
  <si>
    <t>ონლაინ სარეკლამო კამპანია</t>
  </si>
  <si>
    <t>გარე რეკლამა პროექტ „საქართველო როგორც ყველაზე გაზიარებადი ქვეყანა“ ფარგლებში</t>
  </si>
  <si>
    <t>შპს მუზეუმი</t>
  </si>
  <si>
    <t>ყავის შესვენება</t>
  </si>
  <si>
    <t xml:space="preserve"> შპს "ავიაქსელი"</t>
  </si>
  <si>
    <t>შპს "გორგასალი"</t>
  </si>
  <si>
    <t>შპს "გ.თ.გ ჯგუფი"</t>
  </si>
  <si>
    <t>შპს "ვილა იყალთო ჰო-რე-კა"</t>
  </si>
  <si>
    <t>შპს „მშენებლობების საპროექტო ჯგუფი“</t>
  </si>
  <si>
    <t>რემონტის პროექტის შესყიდვა</t>
  </si>
  <si>
    <t>ფ.პ. "ქეთევან ახობაძე"</t>
  </si>
  <si>
    <t>შპს "IRRICULT GE"</t>
  </si>
  <si>
    <t>შპს "კოსტავა 2016"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</si>
  <si>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8 ივნისი   #1259 განკარგულების საფუძველზე (SMP180000937)</t>
  </si>
  <si>
    <t>25.06.2018</t>
  </si>
  <si>
    <t>26.06.2018</t>
  </si>
  <si>
    <t>CMR180124912</t>
  </si>
  <si>
    <t>CMR180124878</t>
  </si>
  <si>
    <t>27.06.2018</t>
  </si>
  <si>
    <t>CMR180125419</t>
  </si>
  <si>
    <t>CMR180124160</t>
  </si>
  <si>
    <t>CMR180127645</t>
  </si>
  <si>
    <t>CMR180127441</t>
  </si>
  <si>
    <t>CMR180127431</t>
  </si>
  <si>
    <t>28.06.2018</t>
  </si>
  <si>
    <t>CMR180128066</t>
  </si>
  <si>
    <t>CMR180125634</t>
  </si>
  <si>
    <t>CMR180125645</t>
  </si>
  <si>
    <t>CMR180125650</t>
  </si>
  <si>
    <t>CMR180125659</t>
  </si>
  <si>
    <t>CMR180125667</t>
  </si>
  <si>
    <t>CMR180126533</t>
  </si>
  <si>
    <t>29.06.2018</t>
  </si>
  <si>
    <t>CMR180126541</t>
  </si>
  <si>
    <t>CMR180128916</t>
  </si>
  <si>
    <t>CMR180128866</t>
  </si>
  <si>
    <t>CMR180128915</t>
  </si>
  <si>
    <t>CMR180128528</t>
  </si>
  <si>
    <t>CMR180128880</t>
  </si>
  <si>
    <t>CMR180128904</t>
  </si>
  <si>
    <t>CMR180128509</t>
  </si>
  <si>
    <t>CMR180128774</t>
  </si>
  <si>
    <t>02.07.2018</t>
  </si>
  <si>
    <t>CMR180129083</t>
  </si>
  <si>
    <t>CMR180129062</t>
  </si>
  <si>
    <t>CMR180129119</t>
  </si>
  <si>
    <t>03.07.2018</t>
  </si>
  <si>
    <t>CMR180129326</t>
  </si>
  <si>
    <t>CMR180129320</t>
  </si>
  <si>
    <t>CMR180128312</t>
  </si>
  <si>
    <t>CMR180131186</t>
  </si>
  <si>
    <t>CMR180128542</t>
  </si>
  <si>
    <t>CMR180129275</t>
  </si>
  <si>
    <t>05.07.2018</t>
  </si>
  <si>
    <t>SPA180004523</t>
  </si>
  <si>
    <t>06.07.2018</t>
  </si>
  <si>
    <t>CMR180128669</t>
  </si>
  <si>
    <t>CMR180131907</t>
  </si>
  <si>
    <t>09.07.2018</t>
  </si>
  <si>
    <t>04.08.2019</t>
  </si>
  <si>
    <t>CMR180129306</t>
  </si>
  <si>
    <t>CMR180131557</t>
  </si>
  <si>
    <t>CMR180132369</t>
  </si>
  <si>
    <t>CMR180132373</t>
  </si>
  <si>
    <t>CMR180134292</t>
  </si>
  <si>
    <t>CMR180130169</t>
  </si>
  <si>
    <t>10.07.2018</t>
  </si>
  <si>
    <t>CMR180132160</t>
  </si>
  <si>
    <t>CMR180132155</t>
  </si>
  <si>
    <t>CMR180132149</t>
  </si>
  <si>
    <t>CMR180134324</t>
  </si>
  <si>
    <t>CMR180132143</t>
  </si>
  <si>
    <t>CMR180129964</t>
  </si>
  <si>
    <t>11.07.2018</t>
  </si>
  <si>
    <t>CMR180131486</t>
  </si>
  <si>
    <t>CMR180131483</t>
  </si>
  <si>
    <t>CMR180130392</t>
  </si>
  <si>
    <t>12.07.2018</t>
  </si>
  <si>
    <t>CMR180130592</t>
  </si>
  <si>
    <t>13.07.2018</t>
  </si>
  <si>
    <t>CMR180132248</t>
  </si>
  <si>
    <t>CMR180132232</t>
  </si>
  <si>
    <t>CMR180132271</t>
  </si>
  <si>
    <t>CMR180132259</t>
  </si>
  <si>
    <t>CMR180131581</t>
  </si>
  <si>
    <t>CMR180134258</t>
  </si>
  <si>
    <t>17.07.2018</t>
  </si>
  <si>
    <t>CMR180135649</t>
  </si>
  <si>
    <t>CMR180135621</t>
  </si>
  <si>
    <t>CMR180135685</t>
  </si>
  <si>
    <t>CMR180135676</t>
  </si>
  <si>
    <t>18.07.2018</t>
  </si>
  <si>
    <t>CMR180133603</t>
  </si>
  <si>
    <t>SPA180005257</t>
  </si>
  <si>
    <t>19.07.2018</t>
  </si>
  <si>
    <t>საქართველოს კანონის სახელმწიფო შესყიდვების შესახებ, მე-10/1 მუხლის 3  პუნქტის "ა" ქვეპუნქტისა და სახელმწიფო შესყიდვების სააგენტოს თავმჯდომარის 2018 წლის 13 ივლისის  N1688 განკარგულების საფუძველზე (SMP180001479)</t>
  </si>
  <si>
    <t>20.07.2018</t>
  </si>
  <si>
    <t>23.07.2018</t>
  </si>
  <si>
    <t>25.07.2018</t>
  </si>
  <si>
    <t>2`674.50</t>
  </si>
  <si>
    <t>CMR180124359</t>
  </si>
  <si>
    <t>CMR180124883</t>
  </si>
  <si>
    <t>4`440.60</t>
  </si>
  <si>
    <t>1`350.00</t>
  </si>
  <si>
    <t>5`800.00</t>
  </si>
  <si>
    <t>8`360.00</t>
  </si>
  <si>
    <t>2`850.00</t>
  </si>
  <si>
    <t>3`365.00</t>
  </si>
  <si>
    <t>5`100.00</t>
  </si>
  <si>
    <t>2`030.00</t>
  </si>
  <si>
    <t>2`240.00</t>
  </si>
  <si>
    <t>CMR180124223</t>
  </si>
  <si>
    <t>CMR180124263</t>
  </si>
  <si>
    <t>CMR180124250</t>
  </si>
  <si>
    <t>1`732.50</t>
  </si>
  <si>
    <t>CMR180121147</t>
  </si>
  <si>
    <t>293`520.00</t>
  </si>
  <si>
    <t xml:space="preserve">2`112.48 </t>
  </si>
  <si>
    <t>3`900.00</t>
  </si>
  <si>
    <t>CMR180124291</t>
  </si>
  <si>
    <t>CMR180124186</t>
  </si>
  <si>
    <t>CMR180124725</t>
  </si>
  <si>
    <t>CMR180121740</t>
  </si>
  <si>
    <t>1`877.38</t>
  </si>
  <si>
    <t>1`181.00</t>
  </si>
  <si>
    <t>SPA180004684</t>
  </si>
  <si>
    <t xml:space="preserve">1`199.00 </t>
  </si>
  <si>
    <t>2`177.00</t>
  </si>
  <si>
    <t>1`000.00</t>
  </si>
  <si>
    <t>2`478.00</t>
  </si>
  <si>
    <t>6`900.17</t>
  </si>
  <si>
    <t xml:space="preserve"> 4`000.00</t>
  </si>
  <si>
    <t>36`732.00</t>
  </si>
  <si>
    <t>1`312.50</t>
  </si>
  <si>
    <t>7`840.00</t>
  </si>
  <si>
    <t xml:space="preserve">3`900.00 </t>
  </si>
  <si>
    <t xml:space="preserve">5`251.80 </t>
  </si>
  <si>
    <t>80`492.52</t>
  </si>
  <si>
    <t xml:space="preserve">6`386.16 </t>
  </si>
  <si>
    <t>2`263.00</t>
  </si>
  <si>
    <t>4`970.00</t>
  </si>
  <si>
    <t xml:space="preserve">3`226.00 </t>
  </si>
  <si>
    <t>2`825.00</t>
  </si>
  <si>
    <t>2`880.00</t>
  </si>
  <si>
    <t>7`600.00</t>
  </si>
  <si>
    <t>SPA180004994</t>
  </si>
  <si>
    <t xml:space="preserve">4`921.00 </t>
  </si>
  <si>
    <t>CMR180138213</t>
  </si>
  <si>
    <t>2`780.00</t>
  </si>
  <si>
    <t>შპს "კომპიუტერშოპი"</t>
  </si>
  <si>
    <t>კომპიუტერისა და პრინტერის შესყიდვა</t>
  </si>
  <si>
    <t>ააიპ სათავგადასავლო ტურიზმის განვითარების ასოციაცია</t>
  </si>
  <si>
    <t>შატილის მარკირება</t>
  </si>
  <si>
    <t>შპს "RSG Goods &amp; Services"</t>
  </si>
  <si>
    <t>ყავის შესყიდვა</t>
  </si>
  <si>
    <t>შპს "გაზეთი ჯორჯია თუდეი"</t>
  </si>
  <si>
    <t>შპს "კურორტი საირმე"</t>
  </si>
  <si>
    <t>შპს "ბორჯომი ლიკანი ინტერნეიშენალი"</t>
  </si>
  <si>
    <t>პორტატული კომპიუტერის (ლეპტოპი) შესყიდვა</t>
  </si>
  <si>
    <t>"eSubstance Ltd T/A Ink"</t>
  </si>
  <si>
    <t>ი.მ. "გიორგი ზანგალაძე"</t>
  </si>
  <si>
    <t>შპს ლ გ გრუპ კომპანია</t>
  </si>
  <si>
    <t>ბაკურიანში სამთო ველოსპორტში ტურნირის მოწყობა/სპორტული ღონისძიების ორგანიზება</t>
  </si>
  <si>
    <t>ი.მ. დარია ხოლოდილინა</t>
  </si>
  <si>
    <t>შპს "კაფე-ახვლედიანის N6"</t>
  </si>
  <si>
    <t>ააიპ საქართველოს ეკოტურიზმის ასოციაცია</t>
  </si>
  <si>
    <t>პანკისის ხეობის სამთო-საფეხმავლო ბილიკების კვლევის მომსახურების შესყიდვა</t>
  </si>
  <si>
    <t>შპს ''გ.თ.გ ჯგუფი''</t>
  </si>
  <si>
    <t>შპს "ჰორეკა მენეჯმენტი"</t>
  </si>
  <si>
    <t>შპს "ვირექს იმერსივ"</t>
  </si>
  <si>
    <t>ღონისძიების ორგანიზების მომსახურება ვირტუალური რეალობის ექსპოზიციით უზრუნველყოფა</t>
  </si>
  <si>
    <t>შპს "ამბასადორი კაჭრეთი"</t>
  </si>
  <si>
    <t>შპს "ლაგაზი"</t>
  </si>
  <si>
    <t>ი.მ. ირაკლი ბლუიშვილი</t>
  </si>
  <si>
    <t>ი.მ. ლამარა ბეჟაშვილი</t>
  </si>
  <si>
    <t>შპს "ხოხბის ცრემლების რესტორანი"</t>
  </si>
  <si>
    <t>შპს "ლეთა"</t>
  </si>
  <si>
    <t>შპს "ბია"</t>
  </si>
  <si>
    <t>შპს "ბერიკა"</t>
  </si>
  <si>
    <t>შპს "სანი ტური"</t>
  </si>
  <si>
    <t>შპს "რმჯ"</t>
  </si>
  <si>
    <t>შპს “ღVINO underground”</t>
  </si>
  <si>
    <t>შპს "საჭაშნიკე"</t>
  </si>
  <si>
    <t>CMR180139771</t>
  </si>
  <si>
    <t>25.07.2019</t>
  </si>
  <si>
    <t>NAT180009757</t>
  </si>
  <si>
    <t>26.07.2018</t>
  </si>
  <si>
    <t>NAT180009667</t>
  </si>
  <si>
    <t>CMR180140359</t>
  </si>
  <si>
    <t>CMR180137904</t>
  </si>
  <si>
    <t>CMR180138068</t>
  </si>
  <si>
    <t>27.07.2018</t>
  </si>
  <si>
    <t>CMR180140498</t>
  </si>
  <si>
    <t>CMR180138470</t>
  </si>
  <si>
    <t>CMR180140958</t>
  </si>
  <si>
    <t>CMR180140497</t>
  </si>
  <si>
    <t>CMR180140496</t>
  </si>
  <si>
    <t>CMR180140890</t>
  </si>
  <si>
    <t>30.07.2018</t>
  </si>
  <si>
    <t>CMR180139221</t>
  </si>
  <si>
    <t>CMR180138507</t>
  </si>
  <si>
    <t>01.08.2018</t>
  </si>
  <si>
    <t>CMR180142839</t>
  </si>
  <si>
    <t>02.08.2018</t>
  </si>
  <si>
    <t>CMR180142879</t>
  </si>
  <si>
    <t>CMR180143298</t>
  </si>
  <si>
    <t>NAT180010148</t>
  </si>
  <si>
    <t>03.08.2018</t>
  </si>
  <si>
    <t xml:space="preserve"> CMR180143294</t>
  </si>
  <si>
    <t>CMR180143297</t>
  </si>
  <si>
    <t>CMR180143302</t>
  </si>
  <si>
    <t>CMR180140849</t>
  </si>
  <si>
    <t>NAT180009684</t>
  </si>
  <si>
    <t>CMR180142862</t>
  </si>
  <si>
    <t>CMR180143168</t>
  </si>
  <si>
    <t>07.08.2018</t>
  </si>
  <si>
    <t>CMR180142865</t>
  </si>
  <si>
    <t>08.08.2018</t>
  </si>
  <si>
    <t>09.08.2018</t>
  </si>
  <si>
    <t>10.08.2018</t>
  </si>
  <si>
    <t>CMR180139814</t>
  </si>
  <si>
    <t>CMR180139784</t>
  </si>
  <si>
    <t>CMR180139694</t>
  </si>
  <si>
    <t>CMR180139655</t>
  </si>
  <si>
    <t>CMR180139810</t>
  </si>
  <si>
    <t>CMR180136801</t>
  </si>
  <si>
    <t>CMR180138400</t>
  </si>
  <si>
    <t>CMR180139665</t>
  </si>
  <si>
    <t>CMR180138017</t>
  </si>
  <si>
    <t>CMR180139011</t>
  </si>
  <si>
    <t>CMR180139658</t>
  </si>
  <si>
    <t>CMR180138003</t>
  </si>
  <si>
    <t>CMR180138056</t>
  </si>
  <si>
    <t>1`916.30</t>
  </si>
  <si>
    <t>1`452.00</t>
  </si>
  <si>
    <t>2`252.25</t>
  </si>
  <si>
    <t xml:space="preserve">2`295.00 </t>
  </si>
  <si>
    <t>1`610.40</t>
  </si>
  <si>
    <t>2`212.50</t>
  </si>
  <si>
    <t>შპს "დანი 2012"</t>
  </si>
  <si>
    <t>შპს "ტურინვესტი"</t>
  </si>
  <si>
    <t>კვების მიწოდება</t>
  </si>
  <si>
    <t>EuroexpoStand LTD</t>
  </si>
  <si>
    <t>სტენდის მშენებლობა მოსკოვში -Otdykh Leisure 2018</t>
  </si>
  <si>
    <t>Green Living Project Inc.</t>
  </si>
  <si>
    <t>მოცულობითი სარეკლამო კამპანია</t>
  </si>
  <si>
    <t xml:space="preserve">LLC Allians Media </t>
  </si>
  <si>
    <t xml:space="preserve">სარეკლამო კამპანია რუსეთის ფედერაციაში -(ტელეარხ - Russia 1)  </t>
  </si>
  <si>
    <t>ფ.პ.ნინო შაქარაშვილი</t>
  </si>
  <si>
    <t>copywriter-ს და სოციალური მენეჯმენტის შესყიდვა</t>
  </si>
  <si>
    <t xml:space="preserve">A.O.R.B.B.R (1998) Ltd.   </t>
  </si>
  <si>
    <t xml:space="preserve">სარეკლამო კამპანია 2.1. ისრაელში (ტელეარხ - “Reshet 13”) </t>
  </si>
  <si>
    <t xml:space="preserve"> LTD Aimbulance Europe </t>
  </si>
  <si>
    <t xml:space="preserve">სარეკლამო კამპანია - უკრაინაში (ტელეარხ - „1+1“) </t>
  </si>
  <si>
    <t>პანკისობა 2018</t>
  </si>
  <si>
    <t>შპს "ჰოსპიტალიკა ჯორჯია"</t>
  </si>
  <si>
    <t>შპს "ესთია ჯორჯია"</t>
  </si>
  <si>
    <t>შპს "მეგრულ ლაზური2"</t>
  </si>
  <si>
    <t>შპს "გრიინ ინვესტ"</t>
  </si>
  <si>
    <t>სსიპ საქართველოს კულტურული მემკვიდრეობის დაცვის ეროვნული სააგენტო</t>
  </si>
  <si>
    <t>შპს "გეორგიოს რანჩო"</t>
  </si>
  <si>
    <t>შპს "მგვ ჯგუპი"</t>
  </si>
  <si>
    <t>შპს "ოტო მოტორს ჰოლდინგი"</t>
  </si>
  <si>
    <t>ფილტრების შესყიდვა</t>
  </si>
  <si>
    <t>შპს "მაჭახელა 25"</t>
  </si>
  <si>
    <t>შპს "სითი გრუპი"</t>
  </si>
  <si>
    <t>შპს "დუდა ტრანსპორტი"</t>
  </si>
  <si>
    <t>სპს ფავორიტი სტილი</t>
  </si>
  <si>
    <t>ბროშურები</t>
  </si>
  <si>
    <t xml:space="preserve">Sakura International Inc. </t>
  </si>
  <si>
    <t>სტენდის მშენებლობა ტოკიოში -JATA  2018"</t>
  </si>
  <si>
    <t xml:space="preserve">LTD Aimbulance Europe </t>
  </si>
  <si>
    <t>სარეკლამო კამპანია პოლონეთში</t>
  </si>
  <si>
    <t>შპს "აქთივ ბათუმი"</t>
  </si>
  <si>
    <t>სარეკლამო მომსახურება - ჟურნალ "ინტერიერში"</t>
  </si>
  <si>
    <t>შპს "ვილლა იყალთო-ჰორეკა"</t>
  </si>
  <si>
    <t>შპს "ბი ეფ თი"</t>
  </si>
  <si>
    <t>შპს "ერეკლე მეორე"</t>
  </si>
  <si>
    <t>mdv Mitteldeutscher Verlag GmbH</t>
  </si>
  <si>
    <t>სარეკლამო კამპანია- ერთი გვერდი ჟურნალ "Tbilisi Interiors"</t>
  </si>
  <si>
    <t>Paris Design</t>
  </si>
  <si>
    <t>სტენდის მშენებლობა პარიზის გამოფენაზე</t>
  </si>
  <si>
    <t xml:space="preserve">MB Capital Services GmbH </t>
  </si>
  <si>
    <t>სტენდის მშენებლობა Buchmesee-ზე</t>
  </si>
  <si>
    <t>შპს "ევროკომინვესტ ჯორჯია"</t>
  </si>
  <si>
    <t>შპს "ამანტე ნარიყალა"</t>
  </si>
  <si>
    <t>შპს "სეზანი"</t>
  </si>
  <si>
    <t>ბეჭდვა</t>
  </si>
  <si>
    <t>ფ.პ. ზურაბ ჩოჩია</t>
  </si>
  <si>
    <t>ინტერიერის დიზაინი</t>
  </si>
  <si>
    <t>შპს "ამბასადირი კაჯრეთში"</t>
  </si>
  <si>
    <t>შპს "ალეგრო"</t>
  </si>
  <si>
    <t>ი.მ. "თეიმურაზ გუგეშაშვილი"</t>
  </si>
  <si>
    <t>შპს "სულიკო"</t>
  </si>
  <si>
    <t>შპს "Georgia Insight"</t>
  </si>
  <si>
    <t>შპს "ემ-ტე გრუპი"</t>
  </si>
  <si>
    <t>კამერების ჩამწერის შეკრთება</t>
  </si>
  <si>
    <t>შპს "ქუინ თამადა"</t>
  </si>
  <si>
    <t>სარეკლამო კამპანია- ჟურნალ where -ში</t>
  </si>
  <si>
    <t>872/1</t>
  </si>
  <si>
    <t>ფ.პ.ელენე რაქვიაშვილი</t>
  </si>
  <si>
    <t>ააიპ ხელოვან ქალთა საერთაშორისო ასოციაცია</t>
  </si>
  <si>
    <t>უსფ ,,კერძო სააქციო საზოგადოება ავიაკომპანია უკრაინის საერთაშორისო ავიახაზების წარმომადგენლობა საქართველოში“</t>
  </si>
  <si>
    <t>ABT-Service LTD</t>
  </si>
  <si>
    <t>შპს "ქი მენეჯმენტ სოლუშენს"</t>
  </si>
  <si>
    <t>"საოჯახი სასტუმროს მართვის"- სატრენინგო მომსახურება</t>
  </si>
  <si>
    <t>შპს "გ.თ.გ. ჯგუფი"</t>
  </si>
  <si>
    <t>შპს "დოლაბაური"</t>
  </si>
  <si>
    <t>ელექტრონული ბიბლიოთეკის შექმნა</t>
  </si>
  <si>
    <t>ფ.პ. ამირან ჩოღოშვილი</t>
  </si>
  <si>
    <t>ფ.პ. თამთა ბოკერია</t>
  </si>
  <si>
    <t>ფ.პ. ანა ტყეშელაშვილი</t>
  </si>
  <si>
    <t>შპს "საწნახელი"</t>
  </si>
  <si>
    <t>შპს "გრინ ინვესტი"</t>
  </si>
  <si>
    <t>შპს "ბ და რ ბიზნესი"</t>
  </si>
  <si>
    <t>შპს " საგა ფუდი"</t>
  </si>
  <si>
    <t>შპს "PIAZZA MANAGEMENT"</t>
  </si>
  <si>
    <t>შპს "პეპე"</t>
  </si>
  <si>
    <t>შპს "ბულვარის კარიპჭე"</t>
  </si>
  <si>
    <t>JTB Corp.</t>
  </si>
  <si>
    <t>სარეკლამო კამპანია- იაპონურ გზამკვლევში “Chikyo no Arukikata”  -ში</t>
  </si>
  <si>
    <t>შპს "პალეტი"</t>
  </si>
  <si>
    <t>ი.მ. ზვიად ჟვნია</t>
  </si>
  <si>
    <t>შპს "კახეთის ღვინის ცენტრი“</t>
  </si>
  <si>
    <t>შპს "ვიპ თრეველ ჯორჯოია"</t>
  </si>
  <si>
    <t>შპს "ჯი-ემ-თი სასტურმოები"</t>
  </si>
  <si>
    <t>ფ.პ. სალომე გიგაური</t>
  </si>
  <si>
    <t>შპს "ტერასა"</t>
  </si>
  <si>
    <t>მანქანების მომსახურება</t>
  </si>
  <si>
    <t>CMR180147609</t>
  </si>
  <si>
    <t>CMR180147616</t>
  </si>
  <si>
    <t xml:space="preserve"> CMR180147618</t>
  </si>
  <si>
    <t>CMR180145278</t>
  </si>
  <si>
    <t>13.08.2018</t>
  </si>
  <si>
    <t>CMR180146055</t>
  </si>
  <si>
    <t>CMR180146051</t>
  </si>
  <si>
    <t>CMR180146062</t>
  </si>
  <si>
    <t>CMR180146068</t>
  </si>
  <si>
    <t>CMR180147631</t>
  </si>
  <si>
    <t>14.08.2018</t>
  </si>
  <si>
    <t>CMR180147381</t>
  </si>
  <si>
    <t xml:space="preserve"> CMR180147813</t>
  </si>
  <si>
    <t xml:space="preserve"> CMR180147568</t>
  </si>
  <si>
    <t>CMR180147448</t>
  </si>
  <si>
    <t>CMR180147357-</t>
  </si>
  <si>
    <t>15.08.2018</t>
  </si>
  <si>
    <t>CMR180145645</t>
  </si>
  <si>
    <t>CMR180146184</t>
  </si>
  <si>
    <t>CMR180148224</t>
  </si>
  <si>
    <t>CMR180146189</t>
  </si>
  <si>
    <t xml:space="preserve"> CMR180145659</t>
  </si>
  <si>
    <t>CMR180145655</t>
  </si>
  <si>
    <t>CMR180148226</t>
  </si>
  <si>
    <t>CMR180147576</t>
  </si>
  <si>
    <t>CMR180146954</t>
  </si>
  <si>
    <t>CMR180146958</t>
  </si>
  <si>
    <t>CMR180146894</t>
  </si>
  <si>
    <t>CMR180148146</t>
  </si>
  <si>
    <t>17.08.2018</t>
  </si>
  <si>
    <t>CMR180148617</t>
  </si>
  <si>
    <t>CMR180148626</t>
  </si>
  <si>
    <t>CMR180146978</t>
  </si>
  <si>
    <t>CMR180148621</t>
  </si>
  <si>
    <t>20.08.2018</t>
  </si>
  <si>
    <t>CMR180146871</t>
  </si>
  <si>
    <t>CMR180146864</t>
  </si>
  <si>
    <t>21.08.2018</t>
  </si>
  <si>
    <t>CMR180148552</t>
  </si>
  <si>
    <t>CMR180147015</t>
  </si>
  <si>
    <t>CMR180147005</t>
  </si>
  <si>
    <t>CMR180148548</t>
  </si>
  <si>
    <t>22.08.2018</t>
  </si>
  <si>
    <t>CMR180149547</t>
  </si>
  <si>
    <t>CMR180149548</t>
  </si>
  <si>
    <t xml:space="preserve"> CMR180150021</t>
  </si>
  <si>
    <t>CMR180149549</t>
  </si>
  <si>
    <t>CMR180149550</t>
  </si>
  <si>
    <t>CMR180148093</t>
  </si>
  <si>
    <t>CMR180149235</t>
  </si>
  <si>
    <t>CMR180149224</t>
  </si>
  <si>
    <t>CMR180149426</t>
  </si>
  <si>
    <t>CMR180149226</t>
  </si>
  <si>
    <t>CMR180149217</t>
  </si>
  <si>
    <t>23.08.2018</t>
  </si>
  <si>
    <t>CMR180150221</t>
  </si>
  <si>
    <t>CMR180150113</t>
  </si>
  <si>
    <t>CMR180150102</t>
  </si>
  <si>
    <t>CMR180150105</t>
  </si>
  <si>
    <t>CMR180149100</t>
  </si>
  <si>
    <t>CMR180148642</t>
  </si>
  <si>
    <t>CMR180150118</t>
  </si>
  <si>
    <t>CMR180149551</t>
  </si>
  <si>
    <t>CMR180150218</t>
  </si>
  <si>
    <t>CMR180150219</t>
  </si>
  <si>
    <t>CMR180150220</t>
  </si>
  <si>
    <t>CMR180150222</t>
  </si>
  <si>
    <t>CMR180150225</t>
  </si>
  <si>
    <t>CMR180150235</t>
  </si>
  <si>
    <t>CMR180150228</t>
  </si>
  <si>
    <t>CMR180150233</t>
  </si>
  <si>
    <t>CMR180150236</t>
  </si>
  <si>
    <t>CMR180150238</t>
  </si>
  <si>
    <t>CMR180150237</t>
  </si>
  <si>
    <t>CMR180150245</t>
  </si>
  <si>
    <t>CMR180147574</t>
  </si>
  <si>
    <t xml:space="preserve">
CMR180149439</t>
  </si>
  <si>
    <t>CMR180150217</t>
  </si>
  <si>
    <t>CMR180150250</t>
  </si>
  <si>
    <t>CMR180149552</t>
  </si>
  <si>
    <t>CMR180150246</t>
  </si>
  <si>
    <t>CMR180150248</t>
  </si>
  <si>
    <t>CMR180150239</t>
  </si>
  <si>
    <t>CMR180150240</t>
  </si>
  <si>
    <t>CMR180150241</t>
  </si>
  <si>
    <t>CMR180150242</t>
  </si>
  <si>
    <t>CMR180150243</t>
  </si>
  <si>
    <t>CMR180150251</t>
  </si>
  <si>
    <t>CMR180150249</t>
  </si>
  <si>
    <t>CMR180149430</t>
  </si>
  <si>
    <t>23,08,2018</t>
  </si>
  <si>
    <t>CMR180149323</t>
  </si>
  <si>
    <t>CMR180150254</t>
  </si>
  <si>
    <t>CMR180150253</t>
  </si>
  <si>
    <t>CMR180150256</t>
  </si>
  <si>
    <t>24.08.2018</t>
  </si>
  <si>
    <t>CMR180150223</t>
  </si>
  <si>
    <t>CMR180150048</t>
  </si>
  <si>
    <t>CMR180150600</t>
  </si>
  <si>
    <t>CMR180150647</t>
  </si>
  <si>
    <t>CMR180149563</t>
  </si>
  <si>
    <t>CMR180150234</t>
  </si>
  <si>
    <t>CMR180150012</t>
  </si>
  <si>
    <t>CMR180149311</t>
  </si>
  <si>
    <t>CMR180150702</t>
  </si>
  <si>
    <t>27.08.2018</t>
  </si>
  <si>
    <t>CMR180150258</t>
  </si>
  <si>
    <t>CMR180151535</t>
  </si>
  <si>
    <t>CMR180152304</t>
  </si>
  <si>
    <t>29.08.2018</t>
  </si>
  <si>
    <t>CMR180152946</t>
  </si>
  <si>
    <t>CMR180151735</t>
  </si>
  <si>
    <t>CMR180152348</t>
  </si>
  <si>
    <t>30.08.2018</t>
  </si>
  <si>
    <t>CMR180153644</t>
  </si>
  <si>
    <t>31.08.2018</t>
  </si>
  <si>
    <t>CMR180153667</t>
  </si>
  <si>
    <t>04.09.2018</t>
  </si>
  <si>
    <t>CMR180151067</t>
  </si>
  <si>
    <t>CMR180151850</t>
  </si>
  <si>
    <t>CMR180151247</t>
  </si>
  <si>
    <t>CMR180156515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</si>
  <si>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2 თებერვლის  #260 განკარგულების საფუძველზე (SMP180000252</t>
  </si>
  <si>
    <t>CMR180155644</t>
  </si>
  <si>
    <t>05.09.2018</t>
  </si>
  <si>
    <t>CMR180151840</t>
  </si>
  <si>
    <t>CMR180151845</t>
  </si>
  <si>
    <t>07.09.2018</t>
  </si>
  <si>
    <t>NAT180011959</t>
  </si>
  <si>
    <t>CMR180155814</t>
  </si>
  <si>
    <t>CMR180155823</t>
  </si>
  <si>
    <t>CMR180155839</t>
  </si>
  <si>
    <t>CMR180157157</t>
  </si>
  <si>
    <t>CMR180157037</t>
  </si>
  <si>
    <t>CMR180157055</t>
  </si>
  <si>
    <t>CMR180157280</t>
  </si>
  <si>
    <t>CMR180157238</t>
  </si>
  <si>
    <t>CMR180157322</t>
  </si>
  <si>
    <t>CMR180157319</t>
  </si>
  <si>
    <t>CMR180157313</t>
  </si>
  <si>
    <t>CMR180157323</t>
  </si>
  <si>
    <t>10.09.2018</t>
  </si>
  <si>
    <t>CMR180155860</t>
  </si>
  <si>
    <t xml:space="preserve"> CMR180156886</t>
  </si>
  <si>
    <t xml:space="preserve"> CMR180155849</t>
  </si>
  <si>
    <t>CMR180156873</t>
  </si>
  <si>
    <t xml:space="preserve"> CMR180157312</t>
  </si>
  <si>
    <t>11.09.2018</t>
  </si>
  <si>
    <t>CMR180157724</t>
  </si>
  <si>
    <t>12.09.2018</t>
  </si>
  <si>
    <t>CMR180155423</t>
  </si>
  <si>
    <t>13.09.2018</t>
  </si>
  <si>
    <t>14.09.2018</t>
  </si>
  <si>
    <t>CMR180157439</t>
  </si>
  <si>
    <t>CMR180157521</t>
  </si>
  <si>
    <t>CMR180157526</t>
  </si>
  <si>
    <t>CMR180157533</t>
  </si>
  <si>
    <t>CMR180158358</t>
  </si>
  <si>
    <t xml:space="preserve"> CMR180158367</t>
  </si>
  <si>
    <t xml:space="preserve"> CMR180158434</t>
  </si>
  <si>
    <t>CMR180158448</t>
  </si>
  <si>
    <t>17.09.2018</t>
  </si>
  <si>
    <t>CMR180157143</t>
  </si>
  <si>
    <t>CMR180157159</t>
  </si>
  <si>
    <t>CMR180157184</t>
  </si>
  <si>
    <t>18.09.2018</t>
  </si>
  <si>
    <t>NAT180013337</t>
  </si>
  <si>
    <t>1`160.00</t>
  </si>
  <si>
    <t>1`225.00</t>
  </si>
  <si>
    <t>4`440.80</t>
  </si>
  <si>
    <t>2`500.00</t>
  </si>
  <si>
    <t>CMR180139721</t>
  </si>
  <si>
    <t>CMR180139722</t>
  </si>
  <si>
    <t>CMR180138408</t>
  </si>
  <si>
    <t>CMR180137911</t>
  </si>
  <si>
    <t>CMR180139702</t>
  </si>
  <si>
    <t>CMR180140495</t>
  </si>
  <si>
    <t>CMR180143371</t>
  </si>
  <si>
    <t>CMR180143304</t>
  </si>
  <si>
    <t>CMR180143311</t>
  </si>
  <si>
    <t>CMR180143313</t>
  </si>
  <si>
    <t>CMR180145871</t>
  </si>
  <si>
    <t>CMR180143454</t>
  </si>
  <si>
    <t xml:space="preserve">5`080.00 </t>
  </si>
  <si>
    <t>10`030.00</t>
  </si>
  <si>
    <t>CMR180140163</t>
  </si>
  <si>
    <t>CMR180141549</t>
  </si>
  <si>
    <t xml:space="preserve">1`200.00 </t>
  </si>
  <si>
    <t>282`699.50</t>
  </si>
  <si>
    <t>5`312.50</t>
  </si>
  <si>
    <t>205`552.00</t>
  </si>
  <si>
    <t xml:space="preserve">1`085.00 </t>
  </si>
  <si>
    <t xml:space="preserve">2`190.00 </t>
  </si>
  <si>
    <t>4`410.00</t>
  </si>
  <si>
    <t>2`870.00</t>
  </si>
  <si>
    <t>CMR180145870</t>
  </si>
  <si>
    <t>CMR180143315</t>
  </si>
  <si>
    <t>CMR180144823</t>
  </si>
  <si>
    <t>CMR180144704</t>
  </si>
  <si>
    <t>CMR180144713</t>
  </si>
  <si>
    <t>CMR180144721</t>
  </si>
  <si>
    <t>CMR180144729</t>
  </si>
  <si>
    <t>CMR180145693</t>
  </si>
  <si>
    <t>CMR180144738</t>
  </si>
  <si>
    <t>CMR180145279</t>
  </si>
  <si>
    <t>CMR180144742</t>
  </si>
  <si>
    <t>CMR180144750</t>
  </si>
  <si>
    <t>CMR180144755</t>
  </si>
  <si>
    <t>CMR180144761</t>
  </si>
  <si>
    <t>CMR180144765</t>
  </si>
  <si>
    <t xml:space="preserve"> CMR180144775</t>
  </si>
  <si>
    <t>CMR180145276</t>
  </si>
  <si>
    <t>CMR180143321</t>
  </si>
  <si>
    <t>CMR180144173</t>
  </si>
  <si>
    <t>CMR180144162</t>
  </si>
  <si>
    <t>CMR180144166</t>
  </si>
  <si>
    <t>CMR180144156</t>
  </si>
  <si>
    <t>CMR180144178</t>
  </si>
  <si>
    <t>CMR180144169</t>
  </si>
  <si>
    <t>CMR180144160</t>
  </si>
  <si>
    <t>CMR180144181</t>
  </si>
  <si>
    <t>CMR180144157</t>
  </si>
  <si>
    <t xml:space="preserve"> CMR180144789</t>
  </si>
  <si>
    <t xml:space="preserve"> CMR180158502</t>
  </si>
  <si>
    <t xml:space="preserve"> CMR180158514</t>
  </si>
  <si>
    <t>CMR180158775</t>
  </si>
  <si>
    <t>CMR180159207</t>
  </si>
  <si>
    <t>CMR180159375</t>
  </si>
  <si>
    <t>CMR180159385</t>
  </si>
  <si>
    <t>CMR180159390</t>
  </si>
  <si>
    <t>CMR180159394</t>
  </si>
  <si>
    <t>CMR180159393</t>
  </si>
  <si>
    <t>CMR180159397</t>
  </si>
  <si>
    <t>CMR180159401</t>
  </si>
  <si>
    <t>CMR180159260</t>
  </si>
  <si>
    <t>CMR180157759</t>
  </si>
  <si>
    <t>CMR180159406</t>
  </si>
  <si>
    <t>CMR180160255</t>
  </si>
  <si>
    <t>CMR180161231</t>
  </si>
  <si>
    <t>CMR180161130</t>
  </si>
  <si>
    <t>CMR180160206</t>
  </si>
  <si>
    <t>CMR180159400</t>
  </si>
  <si>
    <t>CMR180161335</t>
  </si>
  <si>
    <t>CMR180159413</t>
  </si>
  <si>
    <t>CMR180161156</t>
  </si>
  <si>
    <t>CMR180161145</t>
  </si>
  <si>
    <t>CMR180158988</t>
  </si>
  <si>
    <t xml:space="preserve"> CMR180158420</t>
  </si>
  <si>
    <t>CMR180161133</t>
  </si>
  <si>
    <t>CMR180161131</t>
  </si>
  <si>
    <t>CMR180161467</t>
  </si>
  <si>
    <t>CMR180163558</t>
  </si>
  <si>
    <t>CMR180163296</t>
  </si>
  <si>
    <t>CMR180163314</t>
  </si>
  <si>
    <t>CMR180163407</t>
  </si>
  <si>
    <t>CMR180163420</t>
  </si>
  <si>
    <t>CMR180163581</t>
  </si>
  <si>
    <t xml:space="preserve">CMR180163578 </t>
  </si>
  <si>
    <t>CMR180163577</t>
  </si>
  <si>
    <t>CMR180162455</t>
  </si>
  <si>
    <t>CMR180159387</t>
  </si>
  <si>
    <t>CMR180162517</t>
  </si>
  <si>
    <t>CMR180163591</t>
  </si>
  <si>
    <t>CMR180163432</t>
  </si>
  <si>
    <t>CMR180161877</t>
  </si>
  <si>
    <t>CMR180161741</t>
  </si>
  <si>
    <t>CMR180163487</t>
  </si>
  <si>
    <t>CMR180163800</t>
  </si>
  <si>
    <t>CMR180162443</t>
  </si>
  <si>
    <t>CMR180161751</t>
  </si>
  <si>
    <t>CMR180161761</t>
  </si>
  <si>
    <t>CMR180163978</t>
  </si>
  <si>
    <t>CMR180165273</t>
  </si>
  <si>
    <t>CMR180164712</t>
  </si>
  <si>
    <t>CMR180163248</t>
  </si>
  <si>
    <t>CMR180165090</t>
  </si>
  <si>
    <t xml:space="preserve"> CMR180163300</t>
  </si>
  <si>
    <t>CMR180163350</t>
  </si>
  <si>
    <t>CMR180164713</t>
  </si>
  <si>
    <t>CMR180163417</t>
  </si>
  <si>
    <t>CMR180163495</t>
  </si>
  <si>
    <t>CMR180164798</t>
  </si>
  <si>
    <t>CMR180165020</t>
  </si>
  <si>
    <t>CMR180161903</t>
  </si>
  <si>
    <t>CMR180161915</t>
  </si>
  <si>
    <t>CMR180165289</t>
  </si>
  <si>
    <t>CMR180165298</t>
  </si>
  <si>
    <t>CMR180165301</t>
  </si>
  <si>
    <t>CMR180161892</t>
  </si>
  <si>
    <t xml:space="preserve"> CMR180161766</t>
  </si>
  <si>
    <t>CMR180165305</t>
  </si>
  <si>
    <t>CMR180165744</t>
  </si>
  <si>
    <t>CMR180165552</t>
  </si>
  <si>
    <t xml:space="preserve">CMR180165560 </t>
  </si>
  <si>
    <t>CMR180165564</t>
  </si>
  <si>
    <t>CMR180165570</t>
  </si>
  <si>
    <t>CMR180165575</t>
  </si>
  <si>
    <t>CMR180165585</t>
  </si>
  <si>
    <t>CMR180167147</t>
  </si>
  <si>
    <t>CMR180165303</t>
  </si>
  <si>
    <t>CMR180165747</t>
  </si>
  <si>
    <t>CMR180164731</t>
  </si>
  <si>
    <t>CMR180164735</t>
  </si>
  <si>
    <t>CMR180164741</t>
  </si>
  <si>
    <t>CMR180163375</t>
  </si>
  <si>
    <t>CMR180164745</t>
  </si>
  <si>
    <t>CMR180167059</t>
  </si>
  <si>
    <t>CMR180166503</t>
  </si>
  <si>
    <t>CMR180166577</t>
  </si>
  <si>
    <t>1`327.15</t>
  </si>
  <si>
    <t>1`053.80</t>
  </si>
  <si>
    <t xml:space="preserve">2`720.00 </t>
  </si>
  <si>
    <t>1`011.00</t>
  </si>
  <si>
    <t>1`499.00</t>
  </si>
  <si>
    <t xml:space="preserve">3`241.20 </t>
  </si>
  <si>
    <t>11`455.15</t>
  </si>
  <si>
    <t>3`241.20</t>
  </si>
  <si>
    <t>2`375.00</t>
  </si>
  <si>
    <t>8`820.00</t>
  </si>
  <si>
    <t>4`000.00</t>
  </si>
  <si>
    <t>7`260.00</t>
  </si>
  <si>
    <t>5`978.00</t>
  </si>
  <si>
    <t>15`913.90</t>
  </si>
  <si>
    <t>11`040.00</t>
  </si>
  <si>
    <t xml:space="preserve">1`427.00 </t>
  </si>
  <si>
    <t>1`550.00</t>
  </si>
  <si>
    <t>4`524.00</t>
  </si>
  <si>
    <t>6`529.00</t>
  </si>
  <si>
    <t>2`875.00</t>
  </si>
  <si>
    <t>CMR180143813</t>
  </si>
  <si>
    <t xml:space="preserve">4`875.00 </t>
  </si>
  <si>
    <t xml:space="preserve">3`800.00 </t>
  </si>
  <si>
    <t>27`987.30</t>
  </si>
  <si>
    <t xml:space="preserve">1`121.00 </t>
  </si>
  <si>
    <t xml:space="preserve">1`625.00 </t>
  </si>
  <si>
    <t>1`720.00</t>
  </si>
  <si>
    <t xml:space="preserve"> 1`103.30 </t>
  </si>
  <si>
    <t>3`850.00</t>
  </si>
  <si>
    <t>5`200.00</t>
  </si>
  <si>
    <t xml:space="preserve">12`086.00 </t>
  </si>
  <si>
    <t xml:space="preserve">1`709.00 </t>
  </si>
  <si>
    <t>15`748.00</t>
  </si>
  <si>
    <t>1`455.90</t>
  </si>
  <si>
    <t xml:space="preserve">1`888.00 </t>
  </si>
  <si>
    <t>1`274.85</t>
  </si>
  <si>
    <t>2`555.00</t>
  </si>
  <si>
    <t xml:space="preserve">2`036.10 </t>
  </si>
  <si>
    <t>1`737.45</t>
  </si>
  <si>
    <t>5`720.00</t>
  </si>
  <si>
    <t xml:space="preserve">1`015.00 </t>
  </si>
  <si>
    <t xml:space="preserve">14`940.00 </t>
  </si>
  <si>
    <t>1`331.12</t>
  </si>
  <si>
    <t xml:space="preserve">
299.97</t>
  </si>
  <si>
    <t>1`745.86</t>
  </si>
  <si>
    <t xml:space="preserve">1`948.10 </t>
  </si>
  <si>
    <t xml:space="preserve"> 4`381.25</t>
  </si>
  <si>
    <t>2`450.00</t>
  </si>
  <si>
    <t>13`050.00</t>
  </si>
  <si>
    <t>2`004.12</t>
  </si>
  <si>
    <t>62`128.43</t>
  </si>
  <si>
    <t>1`159.80</t>
  </si>
  <si>
    <t xml:space="preserve">1`080.00 </t>
  </si>
  <si>
    <t>1`698.40</t>
  </si>
  <si>
    <t xml:space="preserve">11`646.60 </t>
  </si>
  <si>
    <t>1`111.97</t>
  </si>
  <si>
    <t xml:space="preserve">1`380.60 </t>
  </si>
  <si>
    <t xml:space="preserve">1`606.37 </t>
  </si>
  <si>
    <t xml:space="preserve">
169.92 </t>
  </si>
  <si>
    <t>CMR180135722</t>
  </si>
  <si>
    <t xml:space="preserve">52`982.00 </t>
  </si>
  <si>
    <t>11`894.40</t>
  </si>
  <si>
    <t>1`408.00</t>
  </si>
  <si>
    <t>109`200.00</t>
  </si>
  <si>
    <t xml:space="preserve">1`639.55 </t>
  </si>
  <si>
    <t xml:space="preserve">5`550.00 </t>
  </si>
  <si>
    <t>3`610.00</t>
  </si>
  <si>
    <t>2`280.00</t>
  </si>
  <si>
    <t>5`760.00</t>
  </si>
  <si>
    <t>2`860.00</t>
  </si>
  <si>
    <t>CMR180136846</t>
  </si>
  <si>
    <t>230`100.00</t>
  </si>
  <si>
    <t xml:space="preserve">2`195.00 </t>
  </si>
  <si>
    <t>2`840.00</t>
  </si>
  <si>
    <t>5`433.00</t>
  </si>
  <si>
    <t>2`380.00</t>
  </si>
  <si>
    <t xml:space="preserve">3`225.00 </t>
  </si>
  <si>
    <t xml:space="preserve">2`875.00 </t>
  </si>
  <si>
    <t xml:space="preserve">59`246.10 </t>
  </si>
  <si>
    <t>5`633.00</t>
  </si>
  <si>
    <t>3`625.00</t>
  </si>
  <si>
    <t>56`980.00</t>
  </si>
  <si>
    <t>25`396.60</t>
  </si>
  <si>
    <t xml:space="preserve">6`900.00 </t>
  </si>
  <si>
    <t>15`500.80</t>
  </si>
  <si>
    <t>1`740.00</t>
  </si>
  <si>
    <t xml:space="preserve">8`340.00 </t>
  </si>
  <si>
    <t>1`470.00</t>
  </si>
  <si>
    <t>2`940.00</t>
  </si>
  <si>
    <t xml:space="preserve"> 35`601.67</t>
  </si>
  <si>
    <t>შპს "თბილისის სატრანსპორტო კომპანია"</t>
  </si>
  <si>
    <t>პარკირების მომსახურება</t>
  </si>
  <si>
    <t>შპს "სივრცე"</t>
  </si>
  <si>
    <t>გურჯაანის საერთაშორისო ფესტივალის ორგანიზების მომსახურების შესყიდვა</t>
  </si>
  <si>
    <t>ი.მ. ილია ლეკიშვილი</t>
  </si>
  <si>
    <t>ამხანაგობა "სეტი 2017"</t>
  </si>
  <si>
    <t>შპს "ქედელი ველი"</t>
  </si>
  <si>
    <t>ი.მ. ელგუჯა გოდერძიშვილი</t>
  </si>
  <si>
    <t>ფ.პ. გალინა ინასარიძე</t>
  </si>
  <si>
    <t>ი.მ. ირმა ანსიანი</t>
  </si>
  <si>
    <r>
      <t xml:space="preserve">Dr.W.A.Günther Media </t>
    </r>
    <r>
      <rPr>
        <sz val="9"/>
        <color rgb="FF000000"/>
        <rFont val="Sylfaen"/>
        <family val="1"/>
        <charset val="204"/>
      </rPr>
      <t>Rent AG</t>
    </r>
    <r>
      <rPr>
        <sz val="9"/>
        <color theme="1"/>
        <rFont val="Sylfaen"/>
        <family val="1"/>
        <charset val="204"/>
      </rPr>
      <t xml:space="preserve">  </t>
    </r>
  </si>
  <si>
    <t>პრეზენტაციის ფარგლებში-ლედ მონიტორების ქირაობა</t>
  </si>
  <si>
    <t>შპს "სამართლებრივი ანალიზისა და ექსპეტრიზის ცენტრი"</t>
  </si>
  <si>
    <t>"ღვინის გზის" საპროექტო მომსახურება</t>
  </si>
  <si>
    <t>შპს "ჰოტელს მენეჯმენტ გრუპ-HMG"</t>
  </si>
  <si>
    <t>კვების მისწოდება</t>
  </si>
  <si>
    <t>ქაღალდი</t>
  </si>
  <si>
    <t>შპს "ყვარელის ედემი"</t>
  </si>
  <si>
    <t>შპს "ტოგონძის ღვინო"</t>
  </si>
  <si>
    <t>შპს "ტყუპების საღვინე სახლი ნაფარეულში"</t>
  </si>
  <si>
    <t>შპს "ძველი სიღნაღი"</t>
  </si>
  <si>
    <t>შპს"მთარგმნელობითი ბიურო-დიალოგი 2006"</t>
  </si>
  <si>
    <t>შპს "ზარაფხანა"</t>
  </si>
  <si>
    <t>სუვინირები</t>
  </si>
  <si>
    <t>ი.მ. დავით ნოზაძე</t>
  </si>
  <si>
    <t>ფ.პ. ნიკა ზედელაშვილი</t>
  </si>
  <si>
    <t>ი.მ. გოჩა ღაღაშვილი-ნიკუშა</t>
  </si>
  <si>
    <t>შპს "ჰოტელს მენეჯმენტი"</t>
  </si>
  <si>
    <t>ი.მ. ქრისტინე სარაშვილი-ტატო</t>
  </si>
  <si>
    <t>სარემონტო სამუშაოები</t>
  </si>
  <si>
    <t>09.10.2018</t>
  </si>
  <si>
    <t>CMR180174573</t>
  </si>
  <si>
    <t>CMR180174580</t>
  </si>
  <si>
    <t>CMR180174576</t>
  </si>
  <si>
    <t>CMR180175662</t>
  </si>
  <si>
    <t>CMR180171828</t>
  </si>
  <si>
    <t>11.10.2018</t>
  </si>
  <si>
    <t>NAT180014272</t>
  </si>
  <si>
    <t>CMR180175592</t>
  </si>
  <si>
    <t>12.10.2018</t>
  </si>
  <si>
    <t>CMR180175601</t>
  </si>
  <si>
    <t>CMR180175941</t>
  </si>
  <si>
    <t>CMR180175950</t>
  </si>
  <si>
    <t>CMR180175957</t>
  </si>
  <si>
    <t>CMR180175963</t>
  </si>
  <si>
    <t>CMR180175975</t>
  </si>
  <si>
    <t>CMR180175586</t>
  </si>
  <si>
    <t>CMR180175577</t>
  </si>
  <si>
    <t xml:space="preserve"> CMR180175564</t>
  </si>
  <si>
    <t>CMR180175762</t>
  </si>
  <si>
    <t>CMR180173565</t>
  </si>
  <si>
    <t xml:space="preserve">  CMR180175763</t>
  </si>
  <si>
    <t>CMR180175765</t>
  </si>
  <si>
    <t xml:space="preserve"> CMR180176508-</t>
  </si>
  <si>
    <t>CMR180176396</t>
  </si>
  <si>
    <t>CMR180176301</t>
  </si>
  <si>
    <t>CMR180176242</t>
  </si>
  <si>
    <t xml:space="preserve"> CMR180176328</t>
  </si>
  <si>
    <t xml:space="preserve"> CMR180176259-</t>
  </si>
  <si>
    <t>15.10.2018</t>
  </si>
  <si>
    <t>16.10.2018</t>
  </si>
  <si>
    <t>CMR180173201</t>
  </si>
  <si>
    <t>SPA180007625</t>
  </si>
  <si>
    <t>CMR180175548</t>
  </si>
  <si>
    <t>17.10.2018</t>
  </si>
  <si>
    <t>18.10.2018</t>
  </si>
  <si>
    <t>CON18000028</t>
  </si>
  <si>
    <t>CMR180176202</t>
  </si>
  <si>
    <t>19.10.2018</t>
  </si>
  <si>
    <t>22.10.2018</t>
  </si>
  <si>
    <t>23.10.2018</t>
  </si>
  <si>
    <t>NAT180014932</t>
  </si>
  <si>
    <t>ი.მ. ქრისტინე კანტიძე ABC Translation</t>
  </si>
  <si>
    <t>თარგმნა</t>
  </si>
  <si>
    <t>შპს "შაქრო ტურიზმ"</t>
  </si>
  <si>
    <t>ფ.პ. ნათია ხიდაშელი</t>
  </si>
  <si>
    <t>შპს "შატო მუხრანი"</t>
  </si>
  <si>
    <t>შპს "აიღვინის სახლი"</t>
  </si>
  <si>
    <t>შპს "შუხმან ვაინს ჯორჯია"</t>
  </si>
  <si>
    <t>1047/1</t>
  </si>
  <si>
    <t>ი.მ. ლაშა მოწონელიძე</t>
  </si>
  <si>
    <t>სსიპ "მწერალთა სახლი"</t>
  </si>
  <si>
    <t>შპს "მეტეხარა"</t>
  </si>
  <si>
    <t>ი.მ. ლანა ლალიევა</t>
  </si>
  <si>
    <t>ფ.პ. დავით ხერგიანი</t>
  </si>
  <si>
    <t>შპს "რიზორტ მარტვილი"</t>
  </si>
  <si>
    <t>ი.მ. ელგუჯა გაბრიჭიძე</t>
  </si>
  <si>
    <t>ი.მ. თეა გიგანი</t>
  </si>
  <si>
    <t>შპა "ავიაქსელი"</t>
  </si>
  <si>
    <t xml:space="preserve">ItWorks GmbH </t>
  </si>
  <si>
    <t>სარეკლამო კამპანია- გარე რეკლამა “Frankfurter Messe” -ს ფარგლებში.</t>
  </si>
  <si>
    <t>სს “Hualing international special economic zone”</t>
  </si>
  <si>
    <t>შპს "გოგებაშვილის 30"</t>
  </si>
  <si>
    <t>შპს "No12"</t>
  </si>
  <si>
    <r>
      <t>Italian Exhibition Group SpA</t>
    </r>
    <r>
      <rPr>
        <sz val="9"/>
        <color rgb="FF000000"/>
        <rFont val="Sylfaen"/>
        <family val="1"/>
        <charset val="204"/>
      </rPr>
      <t xml:space="preserve"> </t>
    </r>
  </si>
  <si>
    <t xml:space="preserve">სტენდის აგების მომსახურება - </t>
  </si>
  <si>
    <t>ღონისძიების ორგანიზების ფარგლებში ვირტუალური რეალობის ქირაობა</t>
  </si>
  <si>
    <t>შპს :ივერია"</t>
  </si>
  <si>
    <t>შპს "ივერია"</t>
  </si>
  <si>
    <t>შპს „ჯორჯიან ჰოტელ მენეჯმენტი“</t>
  </si>
  <si>
    <t>შპს "სერვის1"</t>
  </si>
  <si>
    <t>დისტანციური პულტების შესყიდვა</t>
  </si>
  <si>
    <t>ბრენდირებული სასაჩუქრე მასალის შესყიდვა</t>
  </si>
  <si>
    <t>შპს "ლაიქსაიდი"</t>
  </si>
  <si>
    <t>შპს "ოაზისი"</t>
  </si>
  <si>
    <t>19.09.2018</t>
  </si>
  <si>
    <t>20.09.2018</t>
  </si>
  <si>
    <t>21.09.2018</t>
  </si>
  <si>
    <t>24.09.2018</t>
  </si>
  <si>
    <t>25.09.2018</t>
  </si>
  <si>
    <t>CMR180167792</t>
  </si>
  <si>
    <t>CMR180167800</t>
  </si>
  <si>
    <t>26.09.2018</t>
  </si>
  <si>
    <t>CMR180167513</t>
  </si>
  <si>
    <t>CMR180167781</t>
  </si>
  <si>
    <t>CMR180167741</t>
  </si>
  <si>
    <t>27.09.2018</t>
  </si>
  <si>
    <t>CMR180167658</t>
  </si>
  <si>
    <t>CMR180167664</t>
  </si>
  <si>
    <t>CMR180167976</t>
  </si>
  <si>
    <t>CMR180167650</t>
  </si>
  <si>
    <t>CMR180167749</t>
  </si>
  <si>
    <t>CMR180166996</t>
  </si>
  <si>
    <t>28.09.2018</t>
  </si>
  <si>
    <t>CMR180167712</t>
  </si>
  <si>
    <t xml:space="preserve">CMR180168578  </t>
  </si>
  <si>
    <t>CMR180167333</t>
  </si>
  <si>
    <t>01.10.2018</t>
  </si>
  <si>
    <t xml:space="preserve"> CMR180167231</t>
  </si>
  <si>
    <t>02.10.2018</t>
  </si>
  <si>
    <t xml:space="preserve"> CMR180171723</t>
  </si>
  <si>
    <t>03.10.2018</t>
  </si>
  <si>
    <t>CMR180170998</t>
  </si>
  <si>
    <t>CMR180170996</t>
  </si>
  <si>
    <t>04.10.2018</t>
  </si>
  <si>
    <t>CMR180168691</t>
  </si>
  <si>
    <t>CMR180169292</t>
  </si>
  <si>
    <t>CMR180169450</t>
  </si>
  <si>
    <t>CMR180169447</t>
  </si>
  <si>
    <t>CMR180169441</t>
  </si>
  <si>
    <t>CMR180169327</t>
  </si>
  <si>
    <t>CMR180169428</t>
  </si>
  <si>
    <t>CMR180169414</t>
  </si>
  <si>
    <t>CMR180169300</t>
  </si>
  <si>
    <t>CMR180168648</t>
  </si>
  <si>
    <t>CMR180168662</t>
  </si>
  <si>
    <t>CMR180170442</t>
  </si>
  <si>
    <t>CMR180170445</t>
  </si>
  <si>
    <t>CMR180168675</t>
  </si>
  <si>
    <t>CMR180168684</t>
  </si>
  <si>
    <t>CMR180168531</t>
  </si>
  <si>
    <t>05.10.2018</t>
  </si>
  <si>
    <t>CMR180171005</t>
  </si>
  <si>
    <t>CMR180169811</t>
  </si>
  <si>
    <t>CMR180172328</t>
  </si>
  <si>
    <t>CMR180171822</t>
  </si>
  <si>
    <t>CMR180172742</t>
  </si>
  <si>
    <t>CMR180172492</t>
  </si>
  <si>
    <t xml:space="preserve"> CMR180172634-</t>
  </si>
  <si>
    <t xml:space="preserve"> CMR180172622</t>
  </si>
  <si>
    <t xml:space="preserve"> CMR180172508-</t>
  </si>
  <si>
    <t>08.10.2018</t>
  </si>
  <si>
    <t>CMR180170005</t>
  </si>
  <si>
    <t>CMR180174826</t>
  </si>
  <si>
    <t>CMR180174835</t>
  </si>
  <si>
    <t>NAT180014725</t>
  </si>
  <si>
    <t>CMR180174386</t>
  </si>
  <si>
    <t>CMR180174587</t>
  </si>
  <si>
    <t>CMR180174593</t>
  </si>
  <si>
    <t>CMR180174393</t>
  </si>
  <si>
    <t xml:space="preserve"> CMR180174620</t>
  </si>
  <si>
    <t>CMR180174372</t>
  </si>
  <si>
    <t>CMR180174615</t>
  </si>
  <si>
    <t>CMR180174607</t>
  </si>
  <si>
    <t>CMR180174600</t>
  </si>
  <si>
    <t>CMR180174361</t>
  </si>
  <si>
    <t>1`580.00</t>
  </si>
  <si>
    <t xml:space="preserve"> 1`349.50</t>
  </si>
  <si>
    <t>57`297.79</t>
  </si>
  <si>
    <t xml:space="preserve">1`408.00 </t>
  </si>
  <si>
    <t xml:space="preserve">7`352.10 </t>
  </si>
  <si>
    <t>2`570.00</t>
  </si>
  <si>
    <t>1`313.30</t>
  </si>
  <si>
    <t>1`100.00</t>
  </si>
  <si>
    <t xml:space="preserve">4`106.25 </t>
  </si>
  <si>
    <t>2`965.00</t>
  </si>
  <si>
    <t>2`886.20</t>
  </si>
  <si>
    <t>1`250.10</t>
  </si>
  <si>
    <t>31`312.34</t>
  </si>
  <si>
    <t>SPA180004188</t>
  </si>
  <si>
    <t>CMR180121397</t>
  </si>
  <si>
    <t>4`599.00</t>
  </si>
  <si>
    <t>3`932.10</t>
  </si>
  <si>
    <t>1`080.00</t>
  </si>
  <si>
    <t>4`870.00</t>
  </si>
  <si>
    <t>1`574.00</t>
  </si>
  <si>
    <t>6`179.00</t>
  </si>
  <si>
    <t>4`356.50</t>
  </si>
  <si>
    <t>3`312.50</t>
  </si>
  <si>
    <t>1`454.88</t>
  </si>
  <si>
    <t>8`357.80</t>
  </si>
  <si>
    <t>7`807.30</t>
  </si>
  <si>
    <t>1`870.20</t>
  </si>
  <si>
    <t xml:space="preserve">1`273.90 </t>
  </si>
  <si>
    <t>3`173.90</t>
  </si>
  <si>
    <t>1`137.52</t>
  </si>
  <si>
    <t>1`019.70</t>
  </si>
  <si>
    <t>1`050.00</t>
  </si>
  <si>
    <t xml:space="preserve">1`360.00 </t>
  </si>
  <si>
    <t>1`374.00</t>
  </si>
  <si>
    <t>5`785.00</t>
  </si>
  <si>
    <t>54`270.84</t>
  </si>
  <si>
    <t>CMR180163806</t>
  </si>
  <si>
    <t xml:space="preserve">2`700.00 </t>
  </si>
  <si>
    <t>2`737.50</t>
  </si>
  <si>
    <t>5`170.00</t>
  </si>
  <si>
    <t xml:space="preserve">1`330.00 </t>
  </si>
  <si>
    <t xml:space="preserve">2`010.00 </t>
  </si>
  <si>
    <t xml:space="preserve">6`000.00 </t>
  </si>
  <si>
    <t>1`025.00</t>
  </si>
  <si>
    <t>15`240.00</t>
  </si>
  <si>
    <t>5`069.40</t>
  </si>
  <si>
    <t>4`732.02</t>
  </si>
  <si>
    <t>3`184.00</t>
  </si>
  <si>
    <t>3`804.00</t>
  </si>
  <si>
    <t>1`468.44</t>
  </si>
  <si>
    <t xml:space="preserve">2`884.50 </t>
  </si>
  <si>
    <t>1`592.00</t>
  </si>
  <si>
    <t>1`059.85</t>
  </si>
  <si>
    <t>28`910.00</t>
  </si>
  <si>
    <t>36`672.58</t>
  </si>
  <si>
    <t>1`120.00</t>
  </si>
  <si>
    <t>33`318.72</t>
  </si>
  <si>
    <t>9`184.53</t>
  </si>
  <si>
    <t>1`129.15</t>
  </si>
  <si>
    <t>2`512.50</t>
  </si>
  <si>
    <t>406`703.40</t>
  </si>
  <si>
    <t>17`030.00</t>
  </si>
  <si>
    <t>4`956.00</t>
  </si>
  <si>
    <t xml:space="preserve">79`201.05 </t>
  </si>
  <si>
    <t>1`920.00</t>
  </si>
  <si>
    <t xml:space="preserve">1`812.60 </t>
  </si>
  <si>
    <t xml:space="preserve">22`007.25 </t>
  </si>
  <si>
    <t>4`724.72</t>
  </si>
  <si>
    <t>1`117.50</t>
  </si>
  <si>
    <t>1`130.00</t>
  </si>
  <si>
    <t xml:space="preserve">14`750.00 </t>
  </si>
  <si>
    <t xml:space="preserve">1`800.00 </t>
  </si>
  <si>
    <t>CMR180177568</t>
  </si>
  <si>
    <t xml:space="preserve"> CMR180177581</t>
  </si>
  <si>
    <t xml:space="preserve"> CMR180177594</t>
  </si>
  <si>
    <t>CMR180177604</t>
  </si>
  <si>
    <t>CMR180177610</t>
  </si>
  <si>
    <t>CMR180178366</t>
  </si>
  <si>
    <t>CMR180178357</t>
  </si>
  <si>
    <t>CMR180177425</t>
  </si>
  <si>
    <t>CMR180177460</t>
  </si>
  <si>
    <t>CMR180177445</t>
  </si>
  <si>
    <t>CMR180178368</t>
  </si>
  <si>
    <t>CMR180179592</t>
  </si>
  <si>
    <t>CMR180179486</t>
  </si>
  <si>
    <t>CMR180177191</t>
  </si>
  <si>
    <t xml:space="preserve"> CMR180180348</t>
  </si>
  <si>
    <t xml:space="preserve"> CMR180180371</t>
  </si>
  <si>
    <t>CMR180180387</t>
  </si>
  <si>
    <t>CMR180180343</t>
  </si>
  <si>
    <t xml:space="preserve"> CMR180179853-</t>
  </si>
  <si>
    <t>CMR180179875</t>
  </si>
  <si>
    <t>CMR180179865-</t>
  </si>
  <si>
    <t xml:space="preserve"> CMR180180488</t>
  </si>
  <si>
    <t>CMR180179845-</t>
  </si>
  <si>
    <t xml:space="preserve"> CMR180180479</t>
  </si>
  <si>
    <t>CMR180179560</t>
  </si>
  <si>
    <t>CMR180179553</t>
  </si>
  <si>
    <t>CMR180180289</t>
  </si>
  <si>
    <t>CMR180177703</t>
  </si>
  <si>
    <t>CMR180177718</t>
  </si>
  <si>
    <t>CMR180180439</t>
  </si>
  <si>
    <t xml:space="preserve"> CMR180180305</t>
  </si>
  <si>
    <t xml:space="preserve"> CMR180178350</t>
  </si>
  <si>
    <t>CMR180178339</t>
  </si>
  <si>
    <t>CMR180178629</t>
  </si>
  <si>
    <t>CMR180180293</t>
  </si>
  <si>
    <t>CMR180180459</t>
  </si>
  <si>
    <t>CMR180180495</t>
  </si>
  <si>
    <t xml:space="preserve"> CMR180180267</t>
  </si>
  <si>
    <t>CMR180180203</t>
  </si>
  <si>
    <t>CMR180180389</t>
  </si>
  <si>
    <t>CMR180179852</t>
  </si>
  <si>
    <t>CMR180179857</t>
  </si>
  <si>
    <t xml:space="preserve"> CMR180180420</t>
  </si>
  <si>
    <t>CMR180179944</t>
  </si>
  <si>
    <t>CMR180179955</t>
  </si>
  <si>
    <t>CMR180180428</t>
  </si>
  <si>
    <t>CMR180179263</t>
  </si>
  <si>
    <t>CMR180179262</t>
  </si>
  <si>
    <t xml:space="preserve"> CMR180179276</t>
  </si>
  <si>
    <t xml:space="preserve"> CMR180179271</t>
  </si>
  <si>
    <t>CMR180179265</t>
  </si>
  <si>
    <t>CMR180179278</t>
  </si>
  <si>
    <t>CMR180181115</t>
  </si>
  <si>
    <t>CMR180178567</t>
  </si>
  <si>
    <t>CMR180181068</t>
  </si>
  <si>
    <t>CMR180181733</t>
  </si>
  <si>
    <t xml:space="preserve"> CMR180181158</t>
  </si>
  <si>
    <t>CMR180181146</t>
  </si>
  <si>
    <t>CMR180182769</t>
  </si>
  <si>
    <t>CMR180182601</t>
  </si>
  <si>
    <t>CMR180182365</t>
  </si>
  <si>
    <t>CMR180183711</t>
  </si>
  <si>
    <t>CMR180182463</t>
  </si>
  <si>
    <t>CMR180183040</t>
  </si>
  <si>
    <t>CMR180177549</t>
  </si>
  <si>
    <t>2`625.00</t>
  </si>
  <si>
    <t>CMR180177692</t>
  </si>
  <si>
    <t>CMR180177687</t>
  </si>
  <si>
    <t xml:space="preserve">3`000.00 </t>
  </si>
  <si>
    <t>2`287.50</t>
  </si>
  <si>
    <t xml:space="preserve">3`750.00 </t>
  </si>
  <si>
    <t xml:space="preserve">3`186.00 </t>
  </si>
  <si>
    <t>2`552.00</t>
  </si>
  <si>
    <t>22`989.00</t>
  </si>
  <si>
    <t>1`011.30</t>
  </si>
  <si>
    <t>CMR180175987</t>
  </si>
  <si>
    <t>1`260.00</t>
  </si>
  <si>
    <t xml:space="preserve">3`218.75 </t>
  </si>
  <si>
    <t>3`720.00</t>
  </si>
  <si>
    <t>15`197.80</t>
  </si>
  <si>
    <t xml:space="preserve">1`365.15 </t>
  </si>
  <si>
    <t>1`425.00</t>
  </si>
  <si>
    <t>1`840.00</t>
  </si>
  <si>
    <t>შპს "ედექტივ"</t>
  </si>
  <si>
    <t>მუყაოს ყუთები</t>
  </si>
  <si>
    <t>შპს "ორიენტ ლოჯიკი"</t>
  </si>
  <si>
    <t>ups</t>
  </si>
  <si>
    <t>შპს "ბარბარესთან"</t>
  </si>
  <si>
    <t>შპს "აუდიტ-ეკონომიქსი"</t>
  </si>
  <si>
    <t>აუდიტორიული მომსახურება</t>
  </si>
  <si>
    <t>ნაგავის გატანის მომსახურება</t>
  </si>
  <si>
    <t>შპს "თბილსერვის ჯგუფი"</t>
  </si>
  <si>
    <t>მატერიალური ფასეულობების განადგურება-დამარხვის მომსახურება</t>
  </si>
  <si>
    <t>რეკლამა - Where-ში</t>
  </si>
  <si>
    <t>რეკლამა ink-ში</t>
  </si>
  <si>
    <t>შპს "ჯი ემ თი სასტუმროები"</t>
  </si>
  <si>
    <t>შპს "ბიზნეს ჯგუფი 77"</t>
  </si>
  <si>
    <t>პოლიეთილენის პარკი</t>
  </si>
  <si>
    <t>შპს "იბერვაინი"</t>
  </si>
  <si>
    <t xml:space="preserve">ლონდონის სტენდის აგება </t>
  </si>
  <si>
    <t>ღონისძიების ორგანიზება - Welcome to Georgia.</t>
  </si>
  <si>
    <t>შპს "მაგთი"</t>
  </si>
  <si>
    <r>
      <rPr>
        <sz val="8"/>
        <color theme="1"/>
        <rFont val="Sylfaen"/>
        <family val="1"/>
        <charset val="204"/>
      </rPr>
      <t>Maximum Exposure LTD</t>
    </r>
    <r>
      <rPr>
        <b/>
        <sz val="8"/>
        <color rgb="FF000000"/>
        <rFont val="Sylfaen"/>
        <family val="1"/>
        <charset val="204"/>
      </rPr>
      <t xml:space="preserve"> </t>
    </r>
  </si>
  <si>
    <t>ღონისძიების ორგანიზება - WTM-ზე</t>
  </si>
  <si>
    <t>შპს "აგავა"</t>
  </si>
  <si>
    <t>ი/მ. ანზორ ნაჭყებია</t>
  </si>
  <si>
    <t>გამათბობელი</t>
  </si>
  <si>
    <t>შპს "ინტერავტო თრეიდინგი"</t>
  </si>
  <si>
    <t>საბურავები</t>
  </si>
  <si>
    <t>შპს "აუტოტესტ-გეორგია"</t>
  </si>
  <si>
    <t>ავტომობილების ტექნიკური ინსპექტირება</t>
  </si>
  <si>
    <t>ფ.პ. ანა მაღალაშვილი</t>
  </si>
  <si>
    <t>ბრენდის შექმნის მომსახურება</t>
  </si>
  <si>
    <t xml:space="preserve">SIA Baltic Exposervice </t>
  </si>
  <si>
    <t>სტენდის აგების მომსახურება ვარშავაში</t>
  </si>
  <si>
    <t>შპს „გორგასალი“</t>
  </si>
  <si>
    <t>შპს "allmarket.ge"</t>
  </si>
  <si>
    <t>მობილური ტელეფონი</t>
  </si>
  <si>
    <t>შპს "ბადაგი"</t>
  </si>
  <si>
    <t>ტკბილეული და შოკოლადი</t>
  </si>
  <si>
    <t>ყველის პროდუქტები</t>
  </si>
  <si>
    <t>შპს "ჩირიფრუტი"</t>
  </si>
  <si>
    <t>გამომშრალი ხილი</t>
  </si>
  <si>
    <t>შპს "ჰორიზონტი"</t>
  </si>
  <si>
    <t>ბეჭვდის მომსახურება</t>
  </si>
  <si>
    <t xml:space="preserve"> CMR180183284</t>
  </si>
  <si>
    <t>24.10.2018</t>
  </si>
  <si>
    <t>CMR180183263</t>
  </si>
  <si>
    <t>25.10.2018</t>
  </si>
  <si>
    <t>CMR180181578</t>
  </si>
  <si>
    <t>CMR180183535</t>
  </si>
  <si>
    <t>26.10.2018</t>
  </si>
  <si>
    <t>CMR180184623</t>
  </si>
  <si>
    <t>CMR180181254</t>
  </si>
  <si>
    <t>CMR180181258</t>
  </si>
  <si>
    <t>29.10.2018</t>
  </si>
  <si>
    <t>CMR180184628</t>
  </si>
  <si>
    <t>30.10.2018</t>
  </si>
  <si>
    <t>CMR180186055</t>
  </si>
  <si>
    <t>31.10.2018</t>
  </si>
  <si>
    <t>CMR180186551</t>
  </si>
  <si>
    <t>CMR180184906</t>
  </si>
  <si>
    <t>CMR180186477</t>
  </si>
  <si>
    <t>01.11.2018</t>
  </si>
  <si>
    <t>CMR180184830</t>
  </si>
  <si>
    <t>CMR180186496</t>
  </si>
  <si>
    <t>CMR180184237</t>
  </si>
  <si>
    <t xml:space="preserve"> CMR180183918</t>
  </si>
  <si>
    <t>CMR180183934</t>
  </si>
  <si>
    <t>NAT180015912</t>
  </si>
  <si>
    <t>CMR180187007</t>
  </si>
  <si>
    <t>CMR180185447</t>
  </si>
  <si>
    <t>CMR180186998</t>
  </si>
  <si>
    <t>CMR180187252</t>
  </si>
  <si>
    <t>CMR180187258</t>
  </si>
  <si>
    <t>CMR180187262</t>
  </si>
  <si>
    <t>CMR180187261</t>
  </si>
  <si>
    <t xml:space="preserve">CMR180187260 </t>
  </si>
  <si>
    <t>02.11.2018</t>
  </si>
  <si>
    <t>CMR180186617</t>
  </si>
  <si>
    <t>CMR180187963</t>
  </si>
  <si>
    <t>CMR180187973</t>
  </si>
  <si>
    <t>CMR180186604</t>
  </si>
  <si>
    <t>CMR180186818</t>
  </si>
  <si>
    <t>CMR180186835</t>
  </si>
  <si>
    <t>CMR180185644</t>
  </si>
  <si>
    <t xml:space="preserve"> CMR180187012</t>
  </si>
  <si>
    <t>CMR180187951</t>
  </si>
  <si>
    <t>CMR180186568</t>
  </si>
  <si>
    <t>06.11.2018</t>
  </si>
  <si>
    <t>CMR180187890</t>
  </si>
  <si>
    <t>CMR180184799</t>
  </si>
  <si>
    <t>07.11.2018</t>
  </si>
  <si>
    <t>CON180000014</t>
  </si>
  <si>
    <t>CMR180188250</t>
  </si>
  <si>
    <t>CON180000012</t>
  </si>
  <si>
    <t>CON180000015</t>
  </si>
  <si>
    <t>CMR180186982</t>
  </si>
  <si>
    <t>CMR180187111</t>
  </si>
  <si>
    <t>08.11.2018</t>
  </si>
  <si>
    <t>CMR180187839</t>
  </si>
  <si>
    <t>12.11.2018</t>
  </si>
  <si>
    <t>CMR180187975</t>
  </si>
  <si>
    <t>13.11.2018</t>
  </si>
  <si>
    <t>CON180000013</t>
  </si>
  <si>
    <t>NAT180016540</t>
  </si>
  <si>
    <t>14.11.2018</t>
  </si>
  <si>
    <t>1`780.00</t>
  </si>
  <si>
    <t>3`750.00</t>
  </si>
  <si>
    <t>1`358.77</t>
  </si>
  <si>
    <t xml:space="preserve">2`478.00 </t>
  </si>
  <si>
    <t>2`400.00</t>
  </si>
  <si>
    <t>6`195.00</t>
  </si>
  <si>
    <t>1`399.20</t>
  </si>
  <si>
    <t>21`434.37</t>
  </si>
  <si>
    <t>2`025.00</t>
  </si>
  <si>
    <t xml:space="preserve">2`450.00 </t>
  </si>
  <si>
    <t>6`413.00</t>
  </si>
  <si>
    <t>5`845.10</t>
  </si>
  <si>
    <t>1`945.00</t>
  </si>
  <si>
    <t xml:space="preserve">12`011.22 </t>
  </si>
  <si>
    <t xml:space="preserve">3`300.00 </t>
  </si>
  <si>
    <t>5`546.00</t>
  </si>
  <si>
    <t>3`960.00</t>
  </si>
  <si>
    <t>2`536.00</t>
  </si>
  <si>
    <t>2`230.00</t>
  </si>
  <si>
    <t>3`380.00</t>
  </si>
  <si>
    <t>1`087.50</t>
  </si>
  <si>
    <t>59`862.88</t>
  </si>
  <si>
    <t>1`045.00</t>
  </si>
  <si>
    <t>1`189.10</t>
  </si>
  <si>
    <t xml:space="preserve">1`197.15 </t>
  </si>
  <si>
    <t>12`450.00</t>
  </si>
  <si>
    <t>2`078.00</t>
  </si>
  <si>
    <t>9`058.00</t>
  </si>
  <si>
    <t>1`770.00</t>
  </si>
  <si>
    <t>3`000.00</t>
  </si>
  <si>
    <t>2`560.00</t>
  </si>
  <si>
    <t xml:space="preserve">1`180.30 </t>
  </si>
  <si>
    <t xml:space="preserve">2`250.00 </t>
  </si>
  <si>
    <t>5`830.00</t>
  </si>
  <si>
    <t>2`100.00</t>
  </si>
  <si>
    <t xml:space="preserve">1`008.72 </t>
  </si>
  <si>
    <t>CMR180186170</t>
  </si>
  <si>
    <t>შპს "შილდა ტურიზმი"</t>
  </si>
  <si>
    <t>ღონისძიების ორგანიზება -დუბაიში</t>
  </si>
  <si>
    <t>მანქანის შეკეთება</t>
  </si>
  <si>
    <t>ფ.პ. ირაკლი დიდებულიძე</t>
  </si>
  <si>
    <t>პროგრამული უზრუნველყოფა</t>
  </si>
  <si>
    <t xml:space="preserve">Sole Proprietor Elena Safronova-Bolotashvili </t>
  </si>
  <si>
    <t>ქართული ღვინის შესყიდვა IBTM -ზე</t>
  </si>
  <si>
    <t xml:space="preserve">fairservices.net Ltd. </t>
  </si>
  <si>
    <t>სტენდის აგების მომსახურება ბარსელონაში</t>
  </si>
  <si>
    <t>შპს ა ენდ ჯ</t>
  </si>
  <si>
    <t>ქვაბის შესყიდვა</t>
  </si>
  <si>
    <t>შპს "ჰენდიმენი"</t>
  </si>
  <si>
    <t>ლიფტის ნაწილი</t>
  </si>
  <si>
    <t>მინის ანტიფრიზი</t>
  </si>
  <si>
    <t>CMR180190170</t>
  </si>
  <si>
    <t>CMR180190789</t>
  </si>
  <si>
    <t>CMR180191851</t>
  </si>
  <si>
    <t>CMR180191862</t>
  </si>
  <si>
    <t>CMR180191923</t>
  </si>
  <si>
    <t>CMR180191936</t>
  </si>
  <si>
    <t>CMR180191949</t>
  </si>
  <si>
    <t>CMR180191885</t>
  </si>
  <si>
    <t>CMR180193814</t>
  </si>
  <si>
    <t>16.11.2018</t>
  </si>
  <si>
    <t>CMR180194809</t>
  </si>
  <si>
    <t>CMR180194893</t>
  </si>
  <si>
    <t>CMR180194763</t>
  </si>
  <si>
    <t>CMR180194773</t>
  </si>
  <si>
    <t>CMR180194717</t>
  </si>
  <si>
    <t>CMR180194825</t>
  </si>
  <si>
    <t>CMR180194796</t>
  </si>
  <si>
    <t>CMR180194682</t>
  </si>
  <si>
    <t>CMR180194699</t>
  </si>
  <si>
    <t>19.11.2018</t>
  </si>
  <si>
    <t>CMR180195665</t>
  </si>
  <si>
    <t>20.11.2018</t>
  </si>
  <si>
    <t>CMR180193822</t>
  </si>
  <si>
    <t>CMR180193824</t>
  </si>
  <si>
    <t>CMR180193835</t>
  </si>
  <si>
    <t>21.11.2018</t>
  </si>
  <si>
    <t>26.11.2018</t>
  </si>
  <si>
    <t>CMR180196498</t>
  </si>
  <si>
    <t xml:space="preserve">1`036`116.00 </t>
  </si>
  <si>
    <t>9`385.27</t>
  </si>
  <si>
    <t>4`822.00</t>
  </si>
  <si>
    <t>CMR180189266</t>
  </si>
  <si>
    <t>1`812.50</t>
  </si>
  <si>
    <t>1`999.48</t>
  </si>
  <si>
    <t>CMR180189286</t>
  </si>
  <si>
    <t xml:space="preserve">2`143.75 </t>
  </si>
  <si>
    <t>CMR180189180</t>
  </si>
  <si>
    <t>CMR180191513</t>
  </si>
  <si>
    <t>10`000.00</t>
  </si>
  <si>
    <t xml:space="preserve">4`420.00 </t>
  </si>
  <si>
    <t>1`625.00</t>
  </si>
  <si>
    <t>CMR180192506</t>
  </si>
  <si>
    <t xml:space="preserve">1`069.00 </t>
  </si>
  <si>
    <t>1`672.65</t>
  </si>
  <si>
    <t xml:space="preserve">2`490.00 </t>
  </si>
  <si>
    <t>3`480.00</t>
  </si>
  <si>
    <t>4`206.40</t>
  </si>
  <si>
    <t>CMR180193800</t>
  </si>
  <si>
    <t xml:space="preserve">2`629.00 </t>
  </si>
  <si>
    <t>2`312.50</t>
  </si>
  <si>
    <t>CMR180189154</t>
  </si>
  <si>
    <t>8`000.00</t>
  </si>
  <si>
    <t>3`072.78</t>
  </si>
  <si>
    <t>CMR180197095</t>
  </si>
  <si>
    <t xml:space="preserve">1`110.00 </t>
  </si>
  <si>
    <t>CMR180197151</t>
  </si>
  <si>
    <t>CMR180196600</t>
  </si>
  <si>
    <t>4`050.00</t>
  </si>
  <si>
    <t>215`151.95</t>
  </si>
  <si>
    <t>47`446.22</t>
  </si>
  <si>
    <t>CMR180197210</t>
  </si>
  <si>
    <t xml:space="preserve">21`351.00 </t>
  </si>
  <si>
    <t xml:space="preserve">7`860.00 </t>
  </si>
  <si>
    <t xml:space="preserve">22`158.85 </t>
  </si>
  <si>
    <t>1`982.00</t>
  </si>
  <si>
    <t>CMR180197077</t>
  </si>
  <si>
    <t xml:space="preserve">CMR180191075 </t>
  </si>
  <si>
    <t>15`510.60</t>
  </si>
  <si>
    <t>1`668.75</t>
  </si>
  <si>
    <t xml:space="preserve">1`920.00 </t>
  </si>
  <si>
    <t>8`354.70</t>
  </si>
  <si>
    <t>შპს "ქლინინგ პრო"</t>
  </si>
  <si>
    <t>შენობის დასუფთავება</t>
  </si>
  <si>
    <t>Dars Consulting (UK) Ltd</t>
  </si>
  <si>
    <t>30.11.2018</t>
  </si>
  <si>
    <t>CMR180200650</t>
  </si>
  <si>
    <t>05.12.2018</t>
  </si>
  <si>
    <t>CMR180200673</t>
  </si>
  <si>
    <t>07.12.2018</t>
  </si>
  <si>
    <t>CMR180204025</t>
  </si>
  <si>
    <t>CMR180203623</t>
  </si>
  <si>
    <t>CMR180197212</t>
  </si>
  <si>
    <t>4`929.00</t>
  </si>
  <si>
    <t xml:space="preserve">56`697.85 </t>
  </si>
  <si>
    <t>Cable News Network Inc.</t>
  </si>
  <si>
    <t>შპს "იდეა"</t>
  </si>
  <si>
    <t>გუდაურის ღონისძიება</t>
  </si>
  <si>
    <t>მესტიის ღონისძიება</t>
  </si>
  <si>
    <t>The New York Times co</t>
  </si>
  <si>
    <t>შპს "ფერმა"</t>
  </si>
  <si>
    <t>შპს "რედკო მენეჯმენტ გრუპი"</t>
  </si>
  <si>
    <t>შპს "დიო"</t>
  </si>
  <si>
    <t>ჟალუზები</t>
  </si>
  <si>
    <t>პარკირების საშვი</t>
  </si>
  <si>
    <t>შპს "მაი ქლინერი"</t>
  </si>
  <si>
    <t>ავეჯის ქიმწმენდა</t>
  </si>
  <si>
    <t>ფ.პ. დიმიტრი გასიევი</t>
  </si>
  <si>
    <t>ტურნიკეტის შეკეთება</t>
  </si>
  <si>
    <t>10.12.2018</t>
  </si>
  <si>
    <t>CMR180210511</t>
  </si>
  <si>
    <t>CMR180210536</t>
  </si>
  <si>
    <t xml:space="preserve">11.12.2018 </t>
  </si>
  <si>
    <t>CMR180205584</t>
  </si>
  <si>
    <t>13.12.2018</t>
  </si>
  <si>
    <t>CMR180208306</t>
  </si>
  <si>
    <t>NAT180017789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</si>
  <si>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10 დეკემბრის N2340 განკარგულების საფუძველზე (SMP180002406)</t>
  </si>
  <si>
    <t>CMR180207807</t>
  </si>
  <si>
    <t xml:space="preserve"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10 დეკემბრის N2340 განკარგულების საფუძველზე (SMP180002418) </t>
  </si>
  <si>
    <t>CMR180213295</t>
  </si>
  <si>
    <t>14.12.2018</t>
  </si>
  <si>
    <t>CMR180210869</t>
  </si>
  <si>
    <t>CMR180210720</t>
  </si>
  <si>
    <t>CMR180211397</t>
  </si>
  <si>
    <t>CMR180213195</t>
  </si>
  <si>
    <t>CMR180215264</t>
  </si>
  <si>
    <t>CMR180215277</t>
  </si>
  <si>
    <t>CMR180210436</t>
  </si>
  <si>
    <t>CMR180211088</t>
  </si>
  <si>
    <t>CMR180211178</t>
  </si>
  <si>
    <t>17.12.2018</t>
  </si>
  <si>
    <t>CMR180211501</t>
  </si>
  <si>
    <t>CMR180212115</t>
  </si>
  <si>
    <t>18.12.2018</t>
  </si>
  <si>
    <t>CMR180212780</t>
  </si>
  <si>
    <t>20.12.2018</t>
  </si>
  <si>
    <t>21.12.2018</t>
  </si>
  <si>
    <t>CMR180215864</t>
  </si>
  <si>
    <t>458`927.34</t>
  </si>
  <si>
    <t>7`980.60</t>
  </si>
  <si>
    <t>36`968.00</t>
  </si>
  <si>
    <t>187`014.40</t>
  </si>
  <si>
    <t>3`290.00</t>
  </si>
  <si>
    <t xml:space="preserve">1`568.00 </t>
  </si>
  <si>
    <t>CMR180208033</t>
  </si>
  <si>
    <t xml:space="preserve">11`756.50 </t>
  </si>
  <si>
    <t>210`966.00</t>
  </si>
  <si>
    <t xml:space="preserve">39`220.40 </t>
  </si>
  <si>
    <t>CMR180206278</t>
  </si>
  <si>
    <t>5`400.00</t>
  </si>
  <si>
    <t>314`937.23</t>
  </si>
  <si>
    <t>1`119.80</t>
  </si>
  <si>
    <t>136`458.25</t>
  </si>
  <si>
    <t>3`062.50</t>
  </si>
  <si>
    <t>4`081.25</t>
  </si>
  <si>
    <t>CMR180205805</t>
  </si>
  <si>
    <t>CMR180205846</t>
  </si>
  <si>
    <t>CMR180205824</t>
  </si>
  <si>
    <t>CMR180205833</t>
  </si>
  <si>
    <t>CMR180219546</t>
  </si>
  <si>
    <t xml:space="preserve">1`421.00 </t>
  </si>
  <si>
    <t xml:space="preserve">2`384.00 </t>
  </si>
  <si>
    <t xml:space="preserve">5`000.00 </t>
  </si>
  <si>
    <t xml:space="preserve">6`200.80 </t>
  </si>
  <si>
    <t>5`030.00</t>
  </si>
  <si>
    <t xml:space="preserve">1`159.40 </t>
  </si>
  <si>
    <t>შპს "ჯეოჰოტნიუსი"</t>
  </si>
  <si>
    <t>ახალი ამბების სააგენტოების მომსახურება</t>
  </si>
  <si>
    <t>CMR180208041</t>
  </si>
  <si>
    <t>შპს "თენიკა"</t>
  </si>
  <si>
    <t>პუშკინის ცენტრის შეკეთება</t>
  </si>
  <si>
    <t xml:space="preserve">შპს პოლიგრაფი </t>
  </si>
  <si>
    <t>ბეჭდვის მომსახურება ღვინის კატალოგი</t>
  </si>
  <si>
    <t>შპს ჯორჯია თუდეი</t>
  </si>
  <si>
    <t>CMR180221004</t>
  </si>
  <si>
    <t>25.12.2018</t>
  </si>
  <si>
    <t>CMR180219896</t>
  </si>
  <si>
    <t>26.12.2018</t>
  </si>
  <si>
    <t>NAT180019360</t>
  </si>
  <si>
    <t>CMR180220983</t>
  </si>
  <si>
    <t xml:space="preserve">4`439.00 </t>
  </si>
  <si>
    <t>248`716.60</t>
  </si>
  <si>
    <t>9`000.00</t>
  </si>
  <si>
    <t>CMR180214182</t>
  </si>
  <si>
    <t>CMR180214185</t>
  </si>
  <si>
    <t>CMR180216445</t>
  </si>
  <si>
    <t>CMR180216467</t>
  </si>
  <si>
    <t>CMR180216537</t>
  </si>
  <si>
    <t>CMR180216569</t>
  </si>
  <si>
    <t>6`800.00</t>
  </si>
  <si>
    <t>9`450.00</t>
  </si>
  <si>
    <t>1`270.83</t>
  </si>
  <si>
    <t>2`207.00</t>
  </si>
  <si>
    <t xml:space="preserve">2`776.74 </t>
  </si>
  <si>
    <t>შპს ავიაქსელი</t>
  </si>
  <si>
    <t>CMR190002614</t>
  </si>
  <si>
    <t xml:space="preserve">7`400.00 </t>
  </si>
  <si>
    <t>59`861.92</t>
  </si>
  <si>
    <t>758`150.00</t>
  </si>
  <si>
    <t xml:space="preserve">4`193.00 </t>
  </si>
  <si>
    <t>1`313.75</t>
  </si>
  <si>
    <t xml:space="preserve">1`859.00 </t>
  </si>
  <si>
    <t>CMR180220996</t>
  </si>
  <si>
    <t>451`335.21</t>
  </si>
  <si>
    <t>სსიპ საქართველოს ტურიზმის ეროვნული ადმინისტრაცია     2018  წელს გაფორმებული სახელმწიფო შესყიდვების ხელშეკრულებათა რეესტრი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</si>
</sst>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6" formatCode="mm/dd/yyyy"/>
    <numFmt numFmtId="167" formatCode="dd\.mm\.yyyy;@"/>
    <numFmt numFmtId="168" formatCode="dd\.mm\.yyyy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ylfaen"/>
      <family val="1"/>
      <charset val="204"/>
    </font>
    <font>
      <b/>
      <sz val="8"/>
      <name val="Sylfaen"/>
      <family val="1"/>
      <charset val="204"/>
    </font>
    <font>
      <sz val="8"/>
      <name val="Sylfaen"/>
      <family val="1"/>
      <charset val="204"/>
    </font>
    <font>
      <sz val="10"/>
      <name val="Arial"/>
      <family val="2"/>
      <charset val="204"/>
    </font>
    <font>
      <sz val="8"/>
      <name val="Calibri"/>
      <family val="2"/>
    </font>
    <font>
      <vertAlign val="superscript"/>
      <sz val="8"/>
      <name val="Sylfae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Sylfaen"/>
      <family val="1"/>
    </font>
    <font>
      <sz val="8"/>
      <name val="Arial"/>
      <family val="2"/>
      <charset val="204"/>
    </font>
    <font>
      <sz val="8"/>
      <color rgb="FFFF0000"/>
      <name val="Sylfaen"/>
      <family val="1"/>
    </font>
    <font>
      <sz val="9"/>
      <name val="Verdana"/>
      <family val="2"/>
      <charset val="204"/>
    </font>
    <font>
      <sz val="8"/>
      <color theme="1"/>
      <name val="Sylfaen"/>
      <family val="1"/>
    </font>
    <font>
      <sz val="9"/>
      <name val="Sylfaen"/>
      <family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rgb="FF222222"/>
      <name val="Verdana"/>
      <family val="2"/>
      <charset val="204"/>
    </font>
    <font>
      <sz val="10"/>
      <name val="Verdana"/>
      <family val="2"/>
      <charset val="204"/>
    </font>
    <font>
      <sz val="8"/>
      <name val="Verdana"/>
      <family val="2"/>
      <charset val="204"/>
    </font>
    <font>
      <sz val="9"/>
      <color theme="1"/>
      <name val="Sylfaen"/>
      <family val="1"/>
      <charset val="204"/>
    </font>
    <font>
      <sz val="9"/>
      <color rgb="FF000000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8"/>
      <color rgb="FF000000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0" fontId="1" fillId="0" borderId="0"/>
  </cellStyleXfs>
  <cellXfs count="77">
    <xf numFmtId="0" fontId="0" fillId="0" borderId="0" xfId="0"/>
    <xf numFmtId="0" fontId="1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horizontal="center" vertical="center" wrapText="1"/>
    </xf>
    <xf numFmtId="166" fontId="13" fillId="3" borderId="0" xfId="0" applyNumberFormat="1" applyFont="1" applyFill="1" applyBorder="1" applyAlignment="1">
      <alignment horizontal="center" vertical="center" wrapText="1"/>
    </xf>
    <xf numFmtId="167" fontId="13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2" fontId="13" fillId="4" borderId="0" xfId="2" applyNumberFormat="1" applyFont="1" applyFill="1" applyBorder="1" applyAlignment="1">
      <alignment horizontal="center" vertical="center" wrapText="1"/>
    </xf>
    <xf numFmtId="14" fontId="13" fillId="4" borderId="0" xfId="2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 vertical="center" wrapText="1"/>
    </xf>
    <xf numFmtId="166" fontId="13" fillId="2" borderId="0" xfId="2" applyNumberFormat="1" applyFont="1" applyFill="1" applyBorder="1" applyAlignment="1">
      <alignment horizontal="center" vertical="center" wrapText="1"/>
    </xf>
    <xf numFmtId="167" fontId="13" fillId="2" borderId="0" xfId="2" applyNumberFormat="1" applyFont="1" applyFill="1" applyBorder="1" applyAlignment="1">
      <alignment horizontal="center" vertical="center" wrapText="1"/>
    </xf>
    <xf numFmtId="164" fontId="13" fillId="2" borderId="0" xfId="2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15" fillId="5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167" fontId="1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13" fillId="4" borderId="0" xfId="2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8" fontId="13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168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/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5" fillId="3" borderId="1" xfId="0" applyFont="1" applyFill="1" applyBorder="1"/>
    <xf numFmtId="0" fontId="25" fillId="3" borderId="1" xfId="0" applyFont="1" applyFill="1" applyBorder="1" applyAlignment="1">
      <alignment horizontal="center" wrapText="1"/>
    </xf>
    <xf numFmtId="0" fontId="27" fillId="3" borderId="1" xfId="0" applyFont="1" applyFill="1" applyBorder="1"/>
  </cellXfs>
  <cellStyles count="5">
    <cellStyle name="Hyperlink" xfId="1" builtinId="8"/>
    <cellStyle name="Normal" xfId="0" builtinId="0"/>
    <cellStyle name="Normal 2" xfId="2"/>
    <cellStyle name="Normal 3 2" xfId="3"/>
    <cellStyle name="Normal 3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ZU1398"/>
  <sheetViews>
    <sheetView tabSelected="1" topLeftCell="B1" zoomScale="90" zoomScaleNormal="90" workbookViewId="0">
      <selection activeCell="J632" sqref="J632"/>
    </sheetView>
  </sheetViews>
  <sheetFormatPr defaultRowHeight="12.75" x14ac:dyDescent="0.25"/>
  <cols>
    <col min="1" max="1" width="5" style="28" hidden="1" customWidth="1"/>
    <col min="2" max="2" width="5" style="1" bestFit="1" customWidth="1"/>
    <col min="3" max="3" width="18.85546875" style="1" customWidth="1"/>
    <col min="4" max="4" width="21.5703125" style="1" customWidth="1"/>
    <col min="5" max="5" width="15.140625" style="1" customWidth="1"/>
    <col min="6" max="6" width="12.5703125" style="5" customWidth="1"/>
    <col min="7" max="7" width="9.28515625" style="6" bestFit="1" customWidth="1"/>
    <col min="8" max="8" width="8.7109375" style="7" bestFit="1" customWidth="1"/>
    <col min="9" max="9" width="12" style="1" customWidth="1"/>
    <col min="10" max="10" width="24.140625" style="1" customWidth="1"/>
    <col min="11" max="11" width="15.140625" style="2" customWidth="1"/>
    <col min="12" max="118" width="18.140625" style="1" customWidth="1"/>
    <col min="119" max="16384" width="9.140625" style="1"/>
  </cols>
  <sheetData>
    <row r="1" spans="1:11" s="26" customFormat="1" ht="30" customHeight="1" x14ac:dyDescent="0.25">
      <c r="A1" s="25"/>
      <c r="B1" s="44" t="s">
        <v>3055</v>
      </c>
      <c r="C1" s="44"/>
      <c r="D1" s="44"/>
      <c r="E1" s="44"/>
      <c r="F1" s="44"/>
      <c r="G1" s="44"/>
      <c r="H1" s="44"/>
      <c r="I1" s="44"/>
      <c r="K1" s="27"/>
    </row>
    <row r="2" spans="1:11" ht="21.75" customHeight="1" x14ac:dyDescent="0.25">
      <c r="B2" s="12" t="s">
        <v>2</v>
      </c>
      <c r="C2" s="13" t="s">
        <v>11</v>
      </c>
      <c r="D2" s="13" t="s">
        <v>12</v>
      </c>
      <c r="E2" s="13" t="s">
        <v>279</v>
      </c>
      <c r="F2" s="14" t="s">
        <v>13</v>
      </c>
      <c r="G2" s="43" t="s">
        <v>14</v>
      </c>
      <c r="H2" s="43"/>
      <c r="I2" s="15" t="s">
        <v>0</v>
      </c>
      <c r="J2" s="16" t="s">
        <v>1</v>
      </c>
      <c r="K2" s="16" t="s">
        <v>15</v>
      </c>
    </row>
    <row r="3" spans="1:11" hidden="1" x14ac:dyDescent="0.25">
      <c r="B3" s="17"/>
      <c r="C3" s="17"/>
      <c r="D3" s="17"/>
      <c r="E3" s="17"/>
      <c r="F3" s="18"/>
      <c r="G3" s="19"/>
      <c r="H3" s="20"/>
      <c r="I3" s="21"/>
      <c r="J3" s="22"/>
    </row>
    <row r="4" spans="1:11" ht="33.75" x14ac:dyDescent="0.25">
      <c r="B4" s="36">
        <v>249</v>
      </c>
      <c r="C4" s="36" t="s">
        <v>42</v>
      </c>
      <c r="D4" s="36" t="s">
        <v>280</v>
      </c>
      <c r="E4" s="37">
        <f>1610.67+845.25</f>
        <v>2455.92</v>
      </c>
      <c r="F4" s="39">
        <f>25000+1418.39</f>
        <v>26418.39</v>
      </c>
      <c r="G4" s="36" t="s">
        <v>281</v>
      </c>
      <c r="H4" s="36" t="s">
        <v>282</v>
      </c>
      <c r="I4" s="36" t="s">
        <v>7</v>
      </c>
      <c r="J4" s="38"/>
      <c r="K4" s="36" t="s">
        <v>283</v>
      </c>
    </row>
    <row r="5" spans="1:11" ht="45" x14ac:dyDescent="0.25">
      <c r="B5" s="36">
        <v>126</v>
      </c>
      <c r="C5" s="36" t="s">
        <v>191</v>
      </c>
      <c r="D5" s="36" t="s">
        <v>1534</v>
      </c>
      <c r="E5" s="45">
        <f>148+115+133</f>
        <v>396</v>
      </c>
      <c r="F5" s="39">
        <v>4564</v>
      </c>
      <c r="G5" s="36" t="s">
        <v>420</v>
      </c>
      <c r="H5" s="36" t="s">
        <v>309</v>
      </c>
      <c r="I5" s="36" t="s">
        <v>24</v>
      </c>
      <c r="J5" s="46" t="s">
        <v>18</v>
      </c>
      <c r="K5" s="36" t="s">
        <v>1535</v>
      </c>
    </row>
    <row r="6" spans="1:11" ht="45" x14ac:dyDescent="0.25">
      <c r="B6" s="36">
        <v>125</v>
      </c>
      <c r="C6" s="36" t="s">
        <v>193</v>
      </c>
      <c r="D6" s="36" t="s">
        <v>419</v>
      </c>
      <c r="E6" s="37">
        <v>440</v>
      </c>
      <c r="F6" s="39">
        <v>4900</v>
      </c>
      <c r="G6" s="36" t="s">
        <v>420</v>
      </c>
      <c r="H6" s="36" t="s">
        <v>309</v>
      </c>
      <c r="I6" s="36" t="s">
        <v>24</v>
      </c>
      <c r="J6" s="46" t="s">
        <v>18</v>
      </c>
      <c r="K6" s="36" t="s">
        <v>421</v>
      </c>
    </row>
    <row r="7" spans="1:11" ht="22.5" x14ac:dyDescent="0.25">
      <c r="B7" s="36">
        <v>16</v>
      </c>
      <c r="C7" s="36" t="s">
        <v>39</v>
      </c>
      <c r="D7" s="36" t="s">
        <v>284</v>
      </c>
      <c r="E7" s="37">
        <v>878.53</v>
      </c>
      <c r="F7" s="39">
        <v>8340</v>
      </c>
      <c r="G7" s="36" t="s">
        <v>308</v>
      </c>
      <c r="H7" s="36" t="s">
        <v>309</v>
      </c>
      <c r="I7" s="36" t="s">
        <v>7</v>
      </c>
      <c r="J7" s="38"/>
      <c r="K7" s="36" t="s">
        <v>310</v>
      </c>
    </row>
    <row r="8" spans="1:11" ht="22.5" x14ac:dyDescent="0.25">
      <c r="B8" s="36">
        <v>17</v>
      </c>
      <c r="C8" s="36" t="s">
        <v>39</v>
      </c>
      <c r="D8" s="36" t="s">
        <v>307</v>
      </c>
      <c r="E8" s="37" t="s">
        <v>312</v>
      </c>
      <c r="F8" s="39">
        <f>27792+2500</f>
        <v>30292</v>
      </c>
      <c r="G8" s="36" t="s">
        <v>308</v>
      </c>
      <c r="H8" s="36" t="s">
        <v>309</v>
      </c>
      <c r="I8" s="36" t="s">
        <v>7</v>
      </c>
      <c r="J8" s="38"/>
      <c r="K8" s="36" t="s">
        <v>311</v>
      </c>
    </row>
    <row r="9" spans="1:11" ht="180" x14ac:dyDescent="0.25">
      <c r="B9" s="36">
        <v>1</v>
      </c>
      <c r="C9" s="36" t="s">
        <v>26</v>
      </c>
      <c r="D9" s="36" t="s">
        <v>20</v>
      </c>
      <c r="E9" s="36">
        <f>4800*12</f>
        <v>57600</v>
      </c>
      <c r="F9" s="39">
        <v>57600</v>
      </c>
      <c r="G9" s="47" t="s">
        <v>27</v>
      </c>
      <c r="H9" s="41" t="s">
        <v>28</v>
      </c>
      <c r="I9" s="48" t="s">
        <v>24</v>
      </c>
      <c r="J9" s="49" t="s">
        <v>22</v>
      </c>
      <c r="K9" s="50" t="s">
        <v>37</v>
      </c>
    </row>
    <row r="10" spans="1:11" ht="180" x14ac:dyDescent="0.25">
      <c r="A10" s="29"/>
      <c r="B10" s="36">
        <v>2</v>
      </c>
      <c r="C10" s="36" t="s">
        <v>29</v>
      </c>
      <c r="D10" s="36" t="s">
        <v>30</v>
      </c>
      <c r="E10" s="36">
        <f>70.8*8+141.6+71.69+70.8</f>
        <v>850.49</v>
      </c>
      <c r="F10" s="39">
        <v>900</v>
      </c>
      <c r="G10" s="47" t="s">
        <v>27</v>
      </c>
      <c r="H10" s="41" t="s">
        <v>28</v>
      </c>
      <c r="I10" s="48" t="s">
        <v>24</v>
      </c>
      <c r="J10" s="49" t="s">
        <v>23</v>
      </c>
      <c r="K10" s="50" t="s">
        <v>69</v>
      </c>
    </row>
    <row r="11" spans="1:11" ht="90" x14ac:dyDescent="0.25">
      <c r="A11" s="29"/>
      <c r="B11" s="36">
        <v>3</v>
      </c>
      <c r="C11" s="36" t="s">
        <v>31</v>
      </c>
      <c r="D11" s="36" t="s">
        <v>32</v>
      </c>
      <c r="E11" s="36">
        <f>1000*10+1250*2</f>
        <v>12500</v>
      </c>
      <c r="F11" s="39">
        <v>15000</v>
      </c>
      <c r="G11" s="47" t="s">
        <v>27</v>
      </c>
      <c r="H11" s="41" t="s">
        <v>28</v>
      </c>
      <c r="I11" s="48" t="s">
        <v>24</v>
      </c>
      <c r="J11" s="51" t="s">
        <v>16</v>
      </c>
      <c r="K11" s="36" t="s">
        <v>66</v>
      </c>
    </row>
    <row r="12" spans="1:11" ht="22.5" x14ac:dyDescent="0.25">
      <c r="A12" s="29"/>
      <c r="B12" s="36">
        <v>4</v>
      </c>
      <c r="C12" s="36" t="s">
        <v>33</v>
      </c>
      <c r="D12" s="36" t="s">
        <v>34</v>
      </c>
      <c r="E12" s="36">
        <f>13850+8750+2450+2200+16322</f>
        <v>43572</v>
      </c>
      <c r="F12" s="39">
        <v>45672</v>
      </c>
      <c r="G12" s="47" t="s">
        <v>35</v>
      </c>
      <c r="H12" s="41" t="s">
        <v>28</v>
      </c>
      <c r="I12" s="48" t="s">
        <v>9</v>
      </c>
      <c r="J12" s="51" t="s">
        <v>36</v>
      </c>
      <c r="K12" s="36"/>
    </row>
    <row r="13" spans="1:11" ht="22.5" x14ac:dyDescent="0.25">
      <c r="A13" s="29"/>
      <c r="B13" s="36">
        <v>5</v>
      </c>
      <c r="C13" s="36" t="s">
        <v>39</v>
      </c>
      <c r="D13" s="36" t="s">
        <v>40</v>
      </c>
      <c r="E13" s="36">
        <f>725.46+603.48+711.35+319.8+486.08+819.82+778.6+551.84+366.4+516.95+734.86</f>
        <v>6614.6399999999994</v>
      </c>
      <c r="F13" s="39" t="s">
        <v>2990</v>
      </c>
      <c r="G13" s="47" t="s">
        <v>38</v>
      </c>
      <c r="H13" s="41" t="s">
        <v>28</v>
      </c>
      <c r="I13" s="48" t="s">
        <v>7</v>
      </c>
      <c r="J13" s="51"/>
      <c r="K13" s="36" t="s">
        <v>57</v>
      </c>
    </row>
    <row r="14" spans="1:11" ht="22.5" x14ac:dyDescent="0.25">
      <c r="A14" s="29"/>
      <c r="B14" s="36">
        <v>6</v>
      </c>
      <c r="C14" s="36" t="s">
        <v>39</v>
      </c>
      <c r="D14" s="36" t="s">
        <v>41</v>
      </c>
      <c r="E14" s="36">
        <f>2127.76+2256.63+2450.37+2738.28+4094.53+3010.75+4504.87+2215.08+3734.96+2651.86+2942.57</f>
        <v>32727.659999999996</v>
      </c>
      <c r="F14" s="39" t="s">
        <v>2991</v>
      </c>
      <c r="G14" s="47" t="s">
        <v>38</v>
      </c>
      <c r="H14" s="41" t="s">
        <v>28</v>
      </c>
      <c r="I14" s="48" t="s">
        <v>7</v>
      </c>
      <c r="J14" s="49"/>
      <c r="K14" s="36" t="s">
        <v>58</v>
      </c>
    </row>
    <row r="15" spans="1:11" ht="90" x14ac:dyDescent="0.25">
      <c r="A15" s="29"/>
      <c r="B15" s="36">
        <v>7</v>
      </c>
      <c r="C15" s="36" t="s">
        <v>42</v>
      </c>
      <c r="D15" s="36" t="s">
        <v>43</v>
      </c>
      <c r="E15" s="36">
        <f>2450*12</f>
        <v>29400</v>
      </c>
      <c r="F15" s="39">
        <v>29400</v>
      </c>
      <c r="G15" s="47" t="s">
        <v>38</v>
      </c>
      <c r="H15" s="41" t="s">
        <v>28</v>
      </c>
      <c r="I15" s="48" t="s">
        <v>24</v>
      </c>
      <c r="J15" s="51" t="s">
        <v>25</v>
      </c>
      <c r="K15" s="36" t="s">
        <v>88</v>
      </c>
    </row>
    <row r="16" spans="1:11" ht="45.75" x14ac:dyDescent="0.25">
      <c r="A16" s="29"/>
      <c r="B16" s="36">
        <v>8</v>
      </c>
      <c r="C16" s="36" t="s">
        <v>44</v>
      </c>
      <c r="D16" s="36" t="s">
        <v>45</v>
      </c>
      <c r="E16" s="36">
        <f>50*12</f>
        <v>600</v>
      </c>
      <c r="F16" s="39">
        <v>600</v>
      </c>
      <c r="G16" s="47" t="s">
        <v>38</v>
      </c>
      <c r="H16" s="41" t="s">
        <v>28</v>
      </c>
      <c r="I16" s="48" t="s">
        <v>24</v>
      </c>
      <c r="J16" s="46" t="s">
        <v>6</v>
      </c>
      <c r="K16" s="36" t="s">
        <v>85</v>
      </c>
    </row>
    <row r="17" spans="1:59" ht="45.75" x14ac:dyDescent="0.25">
      <c r="A17" s="29"/>
      <c r="B17" s="36">
        <v>9</v>
      </c>
      <c r="C17" s="36" t="s">
        <v>46</v>
      </c>
      <c r="D17" s="36" t="s">
        <v>47</v>
      </c>
      <c r="E17" s="36">
        <f>120*9+360</f>
        <v>1440</v>
      </c>
      <c r="F17" s="39">
        <v>1440</v>
      </c>
      <c r="G17" s="47" t="s">
        <v>38</v>
      </c>
      <c r="H17" s="41" t="s">
        <v>28</v>
      </c>
      <c r="I17" s="48" t="s">
        <v>24</v>
      </c>
      <c r="J17" s="46" t="s">
        <v>6</v>
      </c>
      <c r="K17" s="36" t="s">
        <v>87</v>
      </c>
    </row>
    <row r="18" spans="1:59" s="3" customFormat="1" ht="90" x14ac:dyDescent="0.25">
      <c r="A18" s="30"/>
      <c r="B18" s="36">
        <v>10</v>
      </c>
      <c r="C18" s="36" t="s">
        <v>48</v>
      </c>
      <c r="D18" s="36" t="s">
        <v>49</v>
      </c>
      <c r="E18" s="36">
        <f>486.28+486.81+496.56+490.54+489.58+489.87+498.53+490.69+485.5+487.16+484.81+496.5</f>
        <v>5882.8300000000008</v>
      </c>
      <c r="F18" s="39">
        <v>6510</v>
      </c>
      <c r="G18" s="47" t="s">
        <v>38</v>
      </c>
      <c r="H18" s="41" t="s">
        <v>28</v>
      </c>
      <c r="I18" s="48" t="s">
        <v>24</v>
      </c>
      <c r="J18" s="51" t="s">
        <v>25</v>
      </c>
      <c r="K18" s="36" t="s">
        <v>82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ht="90" x14ac:dyDescent="0.25">
      <c r="A19" s="29"/>
      <c r="B19" s="36">
        <v>11</v>
      </c>
      <c r="C19" s="36" t="s">
        <v>50</v>
      </c>
      <c r="D19" s="52" t="s">
        <v>51</v>
      </c>
      <c r="E19" s="42">
        <f>92.45+25.21+90.96+65.29+62.94+66.18+84.62+47.1+57.84+63.43+32.15</f>
        <v>688.17</v>
      </c>
      <c r="F19" s="39">
        <v>3971</v>
      </c>
      <c r="G19" s="47" t="s">
        <v>38</v>
      </c>
      <c r="H19" s="41" t="s">
        <v>28</v>
      </c>
      <c r="I19" s="48" t="s">
        <v>24</v>
      </c>
      <c r="J19" s="51" t="s">
        <v>25</v>
      </c>
      <c r="K19" s="36" t="s">
        <v>86</v>
      </c>
    </row>
    <row r="20" spans="1:59" ht="90" x14ac:dyDescent="0.25">
      <c r="A20" s="29"/>
      <c r="B20" s="36">
        <v>12</v>
      </c>
      <c r="C20" s="36" t="s">
        <v>52</v>
      </c>
      <c r="D20" s="36" t="s">
        <v>53</v>
      </c>
      <c r="E20" s="36">
        <f>275.66+272.41+62.29</f>
        <v>610.36</v>
      </c>
      <c r="F20" s="39">
        <v>3600</v>
      </c>
      <c r="G20" s="47" t="s">
        <v>38</v>
      </c>
      <c r="H20" s="41" t="s">
        <v>28</v>
      </c>
      <c r="I20" s="48" t="s">
        <v>24</v>
      </c>
      <c r="J20" s="51" t="s">
        <v>25</v>
      </c>
      <c r="K20" s="36" t="s">
        <v>67</v>
      </c>
    </row>
    <row r="21" spans="1:59" ht="45.75" x14ac:dyDescent="0.25">
      <c r="A21" s="29"/>
      <c r="B21" s="36">
        <v>13</v>
      </c>
      <c r="C21" s="36" t="s">
        <v>54</v>
      </c>
      <c r="D21" s="36" t="s">
        <v>55</v>
      </c>
      <c r="E21" s="36">
        <f>145*4</f>
        <v>580</v>
      </c>
      <c r="F21" s="39">
        <v>1305</v>
      </c>
      <c r="G21" s="47" t="s">
        <v>38</v>
      </c>
      <c r="H21" s="41" t="s">
        <v>56</v>
      </c>
      <c r="I21" s="48" t="s">
        <v>24</v>
      </c>
      <c r="J21" s="46" t="s">
        <v>6</v>
      </c>
      <c r="K21" s="36" t="s">
        <v>89</v>
      </c>
    </row>
    <row r="22" spans="1:59" ht="45.75" x14ac:dyDescent="0.25">
      <c r="A22" s="29"/>
      <c r="B22" s="36">
        <v>14</v>
      </c>
      <c r="C22" s="36" t="s">
        <v>52</v>
      </c>
      <c r="D22" s="52" t="s">
        <v>59</v>
      </c>
      <c r="E22" s="52">
        <f>79.47+79.66+79.15+77.31+77.21+79.3+77.39+80+79.38+80+77.14+80</f>
        <v>946.01</v>
      </c>
      <c r="F22" s="39">
        <v>960</v>
      </c>
      <c r="G22" s="47" t="s">
        <v>38</v>
      </c>
      <c r="H22" s="41" t="s">
        <v>56</v>
      </c>
      <c r="I22" s="48" t="s">
        <v>24</v>
      </c>
      <c r="J22" s="46" t="s">
        <v>6</v>
      </c>
      <c r="K22" s="53" t="s">
        <v>68</v>
      </c>
    </row>
    <row r="23" spans="1:59" ht="45.75" x14ac:dyDescent="0.25">
      <c r="A23" s="29"/>
      <c r="B23" s="36">
        <v>15</v>
      </c>
      <c r="C23" s="36" t="s">
        <v>60</v>
      </c>
      <c r="D23" s="36" t="s">
        <v>61</v>
      </c>
      <c r="E23" s="36">
        <f>130*8+260+260</f>
        <v>1560</v>
      </c>
      <c r="F23" s="39">
        <v>1560</v>
      </c>
      <c r="G23" s="47" t="s">
        <v>38</v>
      </c>
      <c r="H23" s="41" t="s">
        <v>28</v>
      </c>
      <c r="I23" s="48" t="s">
        <v>24</v>
      </c>
      <c r="J23" s="46" t="s">
        <v>6</v>
      </c>
      <c r="K23" s="36" t="s">
        <v>81</v>
      </c>
    </row>
    <row r="24" spans="1:59" ht="45.75" x14ac:dyDescent="0.25">
      <c r="A24" s="29"/>
      <c r="B24" s="36">
        <v>16</v>
      </c>
      <c r="C24" s="36" t="s">
        <v>90</v>
      </c>
      <c r="D24" s="36" t="s">
        <v>91</v>
      </c>
      <c r="E24" s="36">
        <f>1198.5*4</f>
        <v>4794</v>
      </c>
      <c r="F24" s="39">
        <v>4794</v>
      </c>
      <c r="G24" s="47" t="s">
        <v>38</v>
      </c>
      <c r="H24" s="41" t="s">
        <v>28</v>
      </c>
      <c r="I24" s="48" t="s">
        <v>24</v>
      </c>
      <c r="J24" s="46" t="s">
        <v>6</v>
      </c>
      <c r="K24" s="36" t="s">
        <v>80</v>
      </c>
    </row>
    <row r="25" spans="1:59" ht="45.75" x14ac:dyDescent="0.25">
      <c r="A25" s="29"/>
      <c r="B25" s="36">
        <v>17</v>
      </c>
      <c r="C25" s="36" t="s">
        <v>62</v>
      </c>
      <c r="D25" s="36" t="s">
        <v>63</v>
      </c>
      <c r="E25" s="36">
        <f>520+8*130</f>
        <v>1560</v>
      </c>
      <c r="F25" s="39">
        <v>1560</v>
      </c>
      <c r="G25" s="47" t="s">
        <v>38</v>
      </c>
      <c r="H25" s="41" t="s">
        <v>28</v>
      </c>
      <c r="I25" s="48" t="s">
        <v>24</v>
      </c>
      <c r="J25" s="46" t="s">
        <v>6</v>
      </c>
      <c r="K25" s="36" t="s">
        <v>83</v>
      </c>
    </row>
    <row r="26" spans="1:59" s="9" customFormat="1" ht="45.75" x14ac:dyDescent="0.25">
      <c r="A26" s="31"/>
      <c r="B26" s="36">
        <v>18</v>
      </c>
      <c r="C26" s="36" t="s">
        <v>64</v>
      </c>
      <c r="D26" s="36" t="s">
        <v>65</v>
      </c>
      <c r="E26" s="36">
        <f>118*19+708+59</f>
        <v>3009</v>
      </c>
      <c r="F26" s="39">
        <v>3540</v>
      </c>
      <c r="G26" s="47" t="s">
        <v>38</v>
      </c>
      <c r="H26" s="41" t="s">
        <v>28</v>
      </c>
      <c r="I26" s="48" t="s">
        <v>24</v>
      </c>
      <c r="J26" s="46" t="s">
        <v>6</v>
      </c>
      <c r="K26" s="36" t="s">
        <v>84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 s="9" customFormat="1" ht="45" x14ac:dyDescent="0.25">
      <c r="A27" s="31"/>
      <c r="B27" s="36">
        <v>19</v>
      </c>
      <c r="C27" s="36" t="s">
        <v>92</v>
      </c>
      <c r="D27" s="36" t="s">
        <v>93</v>
      </c>
      <c r="E27" s="36" t="s">
        <v>292</v>
      </c>
      <c r="F27" s="39">
        <v>1760</v>
      </c>
      <c r="G27" s="36" t="s">
        <v>70</v>
      </c>
      <c r="H27" s="36" t="s">
        <v>56</v>
      </c>
      <c r="I27" s="48" t="s">
        <v>24</v>
      </c>
      <c r="J27" s="46" t="s">
        <v>10</v>
      </c>
      <c r="K27" s="36" t="s">
        <v>113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s="9" customFormat="1" ht="45" x14ac:dyDescent="0.25">
      <c r="A28" s="31"/>
      <c r="B28" s="36">
        <v>20</v>
      </c>
      <c r="C28" s="36" t="s">
        <v>71</v>
      </c>
      <c r="D28" s="36" t="s">
        <v>72</v>
      </c>
      <c r="E28" s="36">
        <f>52 +50+70+28+73+129+80+94+59+52+66+87+108+98+33+122+52+85</f>
        <v>1338</v>
      </c>
      <c r="F28" s="39">
        <v>1500</v>
      </c>
      <c r="G28" s="36" t="s">
        <v>73</v>
      </c>
      <c r="H28" s="36" t="s">
        <v>28</v>
      </c>
      <c r="I28" s="48" t="s">
        <v>24</v>
      </c>
      <c r="J28" s="46" t="s">
        <v>10</v>
      </c>
      <c r="K28" s="36" t="s">
        <v>106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s="9" customFormat="1" ht="45" x14ac:dyDescent="0.25">
      <c r="A29" s="31"/>
      <c r="B29" s="36">
        <v>21</v>
      </c>
      <c r="C29" s="36" t="s">
        <v>74</v>
      </c>
      <c r="D29" s="36" t="s">
        <v>72</v>
      </c>
      <c r="E29" s="36">
        <f>40+5+15+50+35+70+45+5+20+5+40</f>
        <v>330</v>
      </c>
      <c r="F29" s="39">
        <v>1000</v>
      </c>
      <c r="G29" s="36" t="s">
        <v>73</v>
      </c>
      <c r="H29" s="36" t="s">
        <v>28</v>
      </c>
      <c r="I29" s="48" t="s">
        <v>24</v>
      </c>
      <c r="J29" s="46" t="s">
        <v>10</v>
      </c>
      <c r="K29" s="36" t="s">
        <v>104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s="9" customFormat="1" ht="56.25" x14ac:dyDescent="0.25">
      <c r="A30" s="31"/>
      <c r="B30" s="36">
        <v>22</v>
      </c>
      <c r="C30" s="36" t="s">
        <v>75</v>
      </c>
      <c r="D30" s="36" t="s">
        <v>72</v>
      </c>
      <c r="E30" s="36">
        <f>35+56+21+35+81+56+49+39+7+74+14+14+67+67+60+102+53+126+35</f>
        <v>991</v>
      </c>
      <c r="F30" s="39">
        <v>1000</v>
      </c>
      <c r="G30" s="36" t="s">
        <v>73</v>
      </c>
      <c r="H30" s="36" t="s">
        <v>28</v>
      </c>
      <c r="I30" s="48" t="s">
        <v>24</v>
      </c>
      <c r="J30" s="46" t="s">
        <v>10</v>
      </c>
      <c r="K30" s="36" t="s">
        <v>105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s="9" customFormat="1" ht="45" x14ac:dyDescent="0.25">
      <c r="A31" s="31"/>
      <c r="B31" s="36">
        <v>23</v>
      </c>
      <c r="C31" s="36" t="s">
        <v>76</v>
      </c>
      <c r="D31" s="36" t="s">
        <v>72</v>
      </c>
      <c r="E31" s="36">
        <f>30+18+68+32+32+56+44+32+50+62</f>
        <v>424</v>
      </c>
      <c r="F31" s="39">
        <v>800</v>
      </c>
      <c r="G31" s="36" t="s">
        <v>73</v>
      </c>
      <c r="H31" s="36" t="s">
        <v>28</v>
      </c>
      <c r="I31" s="48" t="s">
        <v>24</v>
      </c>
      <c r="J31" s="46" t="s">
        <v>10</v>
      </c>
      <c r="K31" s="36" t="s">
        <v>111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s="9" customFormat="1" ht="45" x14ac:dyDescent="0.25">
      <c r="A32" s="31"/>
      <c r="B32" s="36">
        <v>24</v>
      </c>
      <c r="C32" s="36" t="s">
        <v>77</v>
      </c>
      <c r="D32" s="36" t="s">
        <v>72</v>
      </c>
      <c r="E32" s="36">
        <f>10+80+80+80+20</f>
        <v>270</v>
      </c>
      <c r="F32" s="39">
        <v>800</v>
      </c>
      <c r="G32" s="36" t="s">
        <v>73</v>
      </c>
      <c r="H32" s="36" t="s">
        <v>28</v>
      </c>
      <c r="I32" s="48" t="s">
        <v>24</v>
      </c>
      <c r="J32" s="46" t="s">
        <v>10</v>
      </c>
      <c r="K32" s="36" t="s">
        <v>102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 s="9" customFormat="1" ht="45" x14ac:dyDescent="0.25">
      <c r="A33" s="31"/>
      <c r="B33" s="36">
        <v>25</v>
      </c>
      <c r="C33" s="36" t="s">
        <v>78</v>
      </c>
      <c r="D33" s="36" t="s">
        <v>72</v>
      </c>
      <c r="E33" s="36">
        <f>224+224+120+28+28 +252 +224+165</f>
        <v>1265</v>
      </c>
      <c r="F33" s="39">
        <v>1500</v>
      </c>
      <c r="G33" s="36" t="s">
        <v>73</v>
      </c>
      <c r="H33" s="36" t="s">
        <v>28</v>
      </c>
      <c r="I33" s="48" t="s">
        <v>24</v>
      </c>
      <c r="J33" s="46" t="s">
        <v>10</v>
      </c>
      <c r="K33" s="36" t="s">
        <v>146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s="9" customFormat="1" ht="56.25" x14ac:dyDescent="0.25">
      <c r="A34" s="31"/>
      <c r="B34" s="36">
        <v>26</v>
      </c>
      <c r="C34" s="36" t="s">
        <v>79</v>
      </c>
      <c r="D34" s="36" t="s">
        <v>72</v>
      </c>
      <c r="E34" s="36">
        <v>120</v>
      </c>
      <c r="F34" s="39">
        <v>200</v>
      </c>
      <c r="G34" s="36" t="s">
        <v>73</v>
      </c>
      <c r="H34" s="36" t="s">
        <v>28</v>
      </c>
      <c r="I34" s="48" t="s">
        <v>24</v>
      </c>
      <c r="J34" s="46" t="s">
        <v>10</v>
      </c>
      <c r="K34" s="36" t="s">
        <v>96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s="9" customFormat="1" ht="45" x14ac:dyDescent="0.25">
      <c r="A35" s="31"/>
      <c r="B35" s="36">
        <v>27</v>
      </c>
      <c r="C35" s="36" t="s">
        <v>94</v>
      </c>
      <c r="D35" s="36" t="s">
        <v>95</v>
      </c>
      <c r="E35" s="36">
        <f>88.5</f>
        <v>88.5</v>
      </c>
      <c r="F35" s="39">
        <v>600</v>
      </c>
      <c r="G35" s="36" t="s">
        <v>73</v>
      </c>
      <c r="H35" s="36" t="s">
        <v>28</v>
      </c>
      <c r="I35" s="48" t="s">
        <v>24</v>
      </c>
      <c r="J35" s="46" t="s">
        <v>10</v>
      </c>
      <c r="K35" s="36" t="s">
        <v>101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s="9" customFormat="1" ht="45" x14ac:dyDescent="0.25">
      <c r="A36" s="31"/>
      <c r="B36" s="36">
        <v>28</v>
      </c>
      <c r="C36" s="36" t="s">
        <v>97</v>
      </c>
      <c r="D36" s="36" t="s">
        <v>72</v>
      </c>
      <c r="E36" s="36">
        <f>88</f>
        <v>88</v>
      </c>
      <c r="F36" s="39">
        <v>700</v>
      </c>
      <c r="G36" s="36" t="s">
        <v>100</v>
      </c>
      <c r="H36" s="36" t="s">
        <v>28</v>
      </c>
      <c r="I36" s="48" t="s">
        <v>24</v>
      </c>
      <c r="J36" s="46" t="s">
        <v>10</v>
      </c>
      <c r="K36" s="36" t="s">
        <v>147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s="9" customFormat="1" ht="45" x14ac:dyDescent="0.25">
      <c r="A37" s="31"/>
      <c r="B37" s="36">
        <v>29</v>
      </c>
      <c r="C37" s="36" t="s">
        <v>98</v>
      </c>
      <c r="D37" s="36" t="s">
        <v>72</v>
      </c>
      <c r="E37" s="36">
        <f>170+100</f>
        <v>270</v>
      </c>
      <c r="F37" s="39">
        <v>500</v>
      </c>
      <c r="G37" s="36" t="s">
        <v>100</v>
      </c>
      <c r="H37" s="36" t="s">
        <v>28</v>
      </c>
      <c r="I37" s="48" t="s">
        <v>24</v>
      </c>
      <c r="J37" s="46" t="s">
        <v>10</v>
      </c>
      <c r="K37" s="36" t="s">
        <v>157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s="3" customFormat="1" ht="45" x14ac:dyDescent="0.25">
      <c r="A38" s="30"/>
      <c r="B38" s="36">
        <v>30</v>
      </c>
      <c r="C38" s="36" t="s">
        <v>99</v>
      </c>
      <c r="D38" s="36" t="s">
        <v>72</v>
      </c>
      <c r="E38" s="36">
        <f>180+63+288+108+216+288+264.6+315+72+441+324+36+198+72+148.5+148.5+148.5+49.5+49.5+288+247.5+148.5+36+567+297+148.5+346.5+49.5+297+148.5+324</f>
        <v>6308.1</v>
      </c>
      <c r="F38" s="39">
        <v>7000</v>
      </c>
      <c r="G38" s="36" t="s">
        <v>100</v>
      </c>
      <c r="H38" s="36" t="s">
        <v>28</v>
      </c>
      <c r="I38" s="48" t="s">
        <v>24</v>
      </c>
      <c r="J38" s="46" t="s">
        <v>10</v>
      </c>
      <c r="K38" s="36" t="s">
        <v>103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s="9" customFormat="1" ht="45" x14ac:dyDescent="0.25">
      <c r="A39" s="31"/>
      <c r="B39" s="36">
        <v>32</v>
      </c>
      <c r="C39" s="36" t="s">
        <v>109</v>
      </c>
      <c r="D39" s="36" t="s">
        <v>110</v>
      </c>
      <c r="E39" s="36">
        <v>390</v>
      </c>
      <c r="F39" s="39">
        <v>390</v>
      </c>
      <c r="G39" s="36" t="s">
        <v>107</v>
      </c>
      <c r="H39" s="36" t="s">
        <v>28</v>
      </c>
      <c r="I39" s="48" t="s">
        <v>24</v>
      </c>
      <c r="J39" s="46" t="s">
        <v>10</v>
      </c>
      <c r="K39" s="36" t="s">
        <v>143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s="9" customFormat="1" ht="90" x14ac:dyDescent="0.25">
      <c r="A40" s="31"/>
      <c r="B40" s="36">
        <v>33</v>
      </c>
      <c r="C40" s="36" t="s">
        <v>114</v>
      </c>
      <c r="D40" s="36" t="s">
        <v>115</v>
      </c>
      <c r="E40" s="36" t="s">
        <v>293</v>
      </c>
      <c r="F40" s="39" t="s">
        <v>293</v>
      </c>
      <c r="G40" s="36" t="s">
        <v>107</v>
      </c>
      <c r="H40" s="36" t="s">
        <v>56</v>
      </c>
      <c r="I40" s="48" t="s">
        <v>24</v>
      </c>
      <c r="J40" s="51" t="s">
        <v>112</v>
      </c>
      <c r="K40" s="36" t="s">
        <v>144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s="9" customFormat="1" ht="90" x14ac:dyDescent="0.25">
      <c r="A41" s="31"/>
      <c r="B41" s="36">
        <v>34</v>
      </c>
      <c r="C41" s="36" t="s">
        <v>116</v>
      </c>
      <c r="D41" s="36" t="s">
        <v>117</v>
      </c>
      <c r="E41" s="36">
        <f>53230.08+52252.77</f>
        <v>105482.85</v>
      </c>
      <c r="F41" s="39">
        <v>105482.85</v>
      </c>
      <c r="G41" s="36" t="s">
        <v>107</v>
      </c>
      <c r="H41" s="36" t="s">
        <v>56</v>
      </c>
      <c r="I41" s="48" t="s">
        <v>24</v>
      </c>
      <c r="J41" s="51" t="s">
        <v>112</v>
      </c>
      <c r="K41" s="36" t="s">
        <v>145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s="9" customFormat="1" ht="45.75" x14ac:dyDescent="0.25">
      <c r="A42" s="31"/>
      <c r="B42" s="36">
        <v>35</v>
      </c>
      <c r="C42" s="36" t="s">
        <v>118</v>
      </c>
      <c r="D42" s="36" t="s">
        <v>119</v>
      </c>
      <c r="E42" s="36">
        <v>500</v>
      </c>
      <c r="F42" s="39">
        <v>500</v>
      </c>
      <c r="G42" s="36" t="s">
        <v>107</v>
      </c>
      <c r="H42" s="36" t="s">
        <v>56</v>
      </c>
      <c r="I42" s="48" t="s">
        <v>24</v>
      </c>
      <c r="J42" s="46" t="s">
        <v>6</v>
      </c>
      <c r="K42" s="36" t="s">
        <v>178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s="9" customFormat="1" ht="45" x14ac:dyDescent="0.25">
      <c r="A43" s="31"/>
      <c r="B43" s="36">
        <v>36</v>
      </c>
      <c r="C43" s="36" t="s">
        <v>120</v>
      </c>
      <c r="D43" s="36" t="s">
        <v>5</v>
      </c>
      <c r="E43" s="36">
        <f>940+1410+764.98+3644.91+2549.93+2764.92+5354.93+764.99+3824.88 +2295+4800+1529.96+11790+3315+510+3570+4590+6120 +300+1200+1020+3825+12749.84+255+15044.86+765+1530+2039.92+9179.64+637.49+1530+509.99+1020+3060+765 +765+5227.45+2295+23163.4+10199.99+892.49+5639.92+27729.95+3449.94+3290</f>
        <v>198624.38</v>
      </c>
      <c r="F43" s="39">
        <v>200000</v>
      </c>
      <c r="G43" s="36" t="s">
        <v>121</v>
      </c>
      <c r="H43" s="36" t="s">
        <v>28</v>
      </c>
      <c r="I43" s="48" t="s">
        <v>24</v>
      </c>
      <c r="J43" s="46" t="s">
        <v>10</v>
      </c>
      <c r="K43" s="36" t="s">
        <v>173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s="9" customFormat="1" ht="45" x14ac:dyDescent="0.25">
      <c r="A44" s="31"/>
      <c r="B44" s="36">
        <v>37</v>
      </c>
      <c r="C44" s="52" t="s">
        <v>122</v>
      </c>
      <c r="D44" s="36" t="s">
        <v>5</v>
      </c>
      <c r="E44" s="36">
        <f>470+2039.92+1275+2040+1200+300+2010+510+3450+4845+1020+300+765+1620+2040+2039.96+2294.91+1020+765+510+3120+510+765+255+255+1275+1455.01+510</f>
        <v>38659.799999999996</v>
      </c>
      <c r="F44" s="39">
        <v>100000</v>
      </c>
      <c r="G44" s="36" t="s">
        <v>121</v>
      </c>
      <c r="H44" s="36" t="s">
        <v>28</v>
      </c>
      <c r="I44" s="48" t="s">
        <v>24</v>
      </c>
      <c r="J44" s="46" t="s">
        <v>10</v>
      </c>
      <c r="K44" s="36" t="s">
        <v>172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s="9" customFormat="1" ht="45" x14ac:dyDescent="0.25">
      <c r="A45" s="31"/>
      <c r="B45" s="36">
        <v>38</v>
      </c>
      <c r="C45" s="36" t="s">
        <v>123</v>
      </c>
      <c r="D45" s="36" t="s">
        <v>5</v>
      </c>
      <c r="E45" s="36">
        <f>1117+1117+2860+260+1559.94+780+1820+309</f>
        <v>9822.94</v>
      </c>
      <c r="F45" s="39">
        <v>10000</v>
      </c>
      <c r="G45" s="36" t="s">
        <v>121</v>
      </c>
      <c r="H45" s="36" t="s">
        <v>28</v>
      </c>
      <c r="I45" s="48" t="s">
        <v>24</v>
      </c>
      <c r="J45" s="46" t="s">
        <v>10</v>
      </c>
      <c r="K45" s="36" t="s">
        <v>171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ht="45" x14ac:dyDescent="0.25">
      <c r="A46" s="29"/>
      <c r="B46" s="36">
        <v>39</v>
      </c>
      <c r="C46" s="36" t="s">
        <v>124</v>
      </c>
      <c r="D46" s="36" t="s">
        <v>5</v>
      </c>
      <c r="E46" s="36">
        <v>240</v>
      </c>
      <c r="F46" s="39">
        <v>20000</v>
      </c>
      <c r="G46" s="36" t="s">
        <v>121</v>
      </c>
      <c r="H46" s="36" t="s">
        <v>28</v>
      </c>
      <c r="I46" s="48" t="s">
        <v>24</v>
      </c>
      <c r="J46" s="46" t="s">
        <v>10</v>
      </c>
      <c r="K46" s="36" t="s">
        <v>180</v>
      </c>
    </row>
    <row r="47" spans="1:59" ht="45" x14ac:dyDescent="0.25">
      <c r="A47" s="29"/>
      <c r="B47" s="36">
        <v>40</v>
      </c>
      <c r="C47" s="36" t="s">
        <v>125</v>
      </c>
      <c r="D47" s="36" t="s">
        <v>5</v>
      </c>
      <c r="E47" s="36">
        <f>795+2584.89+4080+3975+470 +4200+3959.94+6120+600.01+1020+10200 +5865 +1200 +7139.93+12073.98+2295+2010+7140+2339.93 +2294.97 +13050.01+2040+2040+6334.79+765 +509.98+3825 +1529.98 +4260+1785+5100+12626.9+5685+5100</f>
        <v>145015.30999999997</v>
      </c>
      <c r="F47" s="39">
        <v>150000</v>
      </c>
      <c r="G47" s="36" t="s">
        <v>121</v>
      </c>
      <c r="H47" s="36" t="s">
        <v>28</v>
      </c>
      <c r="I47" s="48" t="s">
        <v>24</v>
      </c>
      <c r="J47" s="46" t="s">
        <v>10</v>
      </c>
      <c r="K47" s="36" t="s">
        <v>174</v>
      </c>
    </row>
    <row r="48" spans="1:59" ht="45" x14ac:dyDescent="0.25">
      <c r="A48" s="29"/>
      <c r="B48" s="36">
        <v>41</v>
      </c>
      <c r="C48" s="36" t="s">
        <v>126</v>
      </c>
      <c r="D48" s="36" t="s">
        <v>5</v>
      </c>
      <c r="E48" s="36">
        <f>2750+500+250+810</f>
        <v>4310</v>
      </c>
      <c r="F48" s="39">
        <v>5000</v>
      </c>
      <c r="G48" s="36" t="s">
        <v>121</v>
      </c>
      <c r="H48" s="36" t="s">
        <v>28</v>
      </c>
      <c r="I48" s="48" t="s">
        <v>24</v>
      </c>
      <c r="J48" s="46" t="s">
        <v>10</v>
      </c>
      <c r="K48" s="36" t="s">
        <v>170</v>
      </c>
    </row>
    <row r="49" spans="1:59" ht="45" x14ac:dyDescent="0.25">
      <c r="A49" s="29"/>
      <c r="B49" s="36">
        <v>42</v>
      </c>
      <c r="C49" s="36" t="s">
        <v>127</v>
      </c>
      <c r="D49" s="36" t="s">
        <v>5</v>
      </c>
      <c r="E49" s="36">
        <f>517.5+396+351+351</f>
        <v>1615.5</v>
      </c>
      <c r="F49" s="39">
        <v>5000</v>
      </c>
      <c r="G49" s="36" t="s">
        <v>121</v>
      </c>
      <c r="H49" s="36" t="s">
        <v>28</v>
      </c>
      <c r="I49" s="48" t="s">
        <v>24</v>
      </c>
      <c r="J49" s="46" t="s">
        <v>10</v>
      </c>
      <c r="K49" s="36" t="s">
        <v>169</v>
      </c>
    </row>
    <row r="50" spans="1:59" ht="45" x14ac:dyDescent="0.25">
      <c r="A50" s="29"/>
      <c r="B50" s="36">
        <v>43</v>
      </c>
      <c r="C50" s="36" t="s">
        <v>128</v>
      </c>
      <c r="D50" s="36" t="s">
        <v>5</v>
      </c>
      <c r="E50" s="36">
        <f>267+928+464+1584+2784+352+816+696</f>
        <v>7891</v>
      </c>
      <c r="F50" s="39">
        <v>20000</v>
      </c>
      <c r="G50" s="36" t="s">
        <v>121</v>
      </c>
      <c r="H50" s="36" t="s">
        <v>28</v>
      </c>
      <c r="I50" s="48" t="s">
        <v>24</v>
      </c>
      <c r="J50" s="46" t="s">
        <v>10</v>
      </c>
      <c r="K50" s="36" t="s">
        <v>207</v>
      </c>
    </row>
    <row r="51" spans="1:59" ht="45" x14ac:dyDescent="0.25">
      <c r="A51" s="29"/>
      <c r="B51" s="36">
        <v>44</v>
      </c>
      <c r="C51" s="36" t="s">
        <v>99</v>
      </c>
      <c r="D51" s="36" t="s">
        <v>108</v>
      </c>
      <c r="E51" s="36">
        <f>247.45+52.04+475.24+110.98+316.98+203.37+313.82+184.79+430.64+99.83 +390.7+526.22+280.9+107.12+306.39+554.9+234.96+916.52+339.84+7139.93+87.08+64.35+146.02+243.1+381.6+238.5+105.3+49.5+138.6</f>
        <v>14686.67</v>
      </c>
      <c r="F51" s="39">
        <v>10000</v>
      </c>
      <c r="G51" s="36" t="s">
        <v>121</v>
      </c>
      <c r="H51" s="36" t="s">
        <v>28</v>
      </c>
      <c r="I51" s="48" t="s">
        <v>24</v>
      </c>
      <c r="J51" s="46" t="s">
        <v>10</v>
      </c>
      <c r="K51" s="36" t="s">
        <v>228</v>
      </c>
    </row>
    <row r="52" spans="1:59" ht="45" x14ac:dyDescent="0.25">
      <c r="A52" s="29"/>
      <c r="B52" s="36">
        <v>45</v>
      </c>
      <c r="C52" s="36" t="s">
        <v>128</v>
      </c>
      <c r="D52" s="36" t="s">
        <v>108</v>
      </c>
      <c r="E52" s="36">
        <f>247.45+52.04+475.24 +110.98 +316.98+203.37 +313.82+184.79+430.64+99.83+390.7+526.22+280.9+107.12+306.39+554.9+234.96+916.52+339.84+87.08+64.35 +146.02 +243.1+381.6+238.5+105.3+49.5+138.6</f>
        <v>7546.7400000000007</v>
      </c>
      <c r="F52" s="39">
        <v>30000</v>
      </c>
      <c r="G52" s="36" t="s">
        <v>121</v>
      </c>
      <c r="H52" s="36" t="s">
        <v>28</v>
      </c>
      <c r="I52" s="48" t="s">
        <v>24</v>
      </c>
      <c r="J52" s="46" t="s">
        <v>10</v>
      </c>
      <c r="K52" s="36" t="s">
        <v>204</v>
      </c>
    </row>
    <row r="53" spans="1:59" ht="45" x14ac:dyDescent="0.25">
      <c r="A53" s="29"/>
      <c r="B53" s="36">
        <v>46</v>
      </c>
      <c r="C53" s="36" t="s">
        <v>97</v>
      </c>
      <c r="D53" s="36" t="s">
        <v>108</v>
      </c>
      <c r="E53" s="36">
        <v>550</v>
      </c>
      <c r="F53" s="39">
        <v>1000</v>
      </c>
      <c r="G53" s="36" t="s">
        <v>121</v>
      </c>
      <c r="H53" s="36" t="s">
        <v>28</v>
      </c>
      <c r="I53" s="48" t="s">
        <v>24</v>
      </c>
      <c r="J53" s="46" t="s">
        <v>10</v>
      </c>
      <c r="K53" s="36" t="s">
        <v>225</v>
      </c>
    </row>
    <row r="54" spans="1:59" ht="45" x14ac:dyDescent="0.25">
      <c r="A54" s="29"/>
      <c r="B54" s="36">
        <v>47</v>
      </c>
      <c r="C54" s="36" t="s">
        <v>129</v>
      </c>
      <c r="D54" s="36" t="s">
        <v>108</v>
      </c>
      <c r="E54" s="36">
        <f>297.5+119.9+47.6+103.8</f>
        <v>568.79999999999995</v>
      </c>
      <c r="F54" s="39">
        <v>1000</v>
      </c>
      <c r="G54" s="36" t="s">
        <v>121</v>
      </c>
      <c r="H54" s="36" t="s">
        <v>28</v>
      </c>
      <c r="I54" s="48" t="s">
        <v>24</v>
      </c>
      <c r="J54" s="46" t="s">
        <v>10</v>
      </c>
      <c r="K54" s="36" t="s">
        <v>224</v>
      </c>
    </row>
    <row r="55" spans="1:59" ht="45" x14ac:dyDescent="0.25">
      <c r="A55" s="29"/>
      <c r="B55" s="36">
        <v>48</v>
      </c>
      <c r="C55" s="36" t="s">
        <v>130</v>
      </c>
      <c r="D55" s="36" t="s">
        <v>108</v>
      </c>
      <c r="E55" s="36">
        <f>356.3+310.86+281.95+779.72+79</f>
        <v>1807.8300000000002</v>
      </c>
      <c r="F55" s="39">
        <v>2000</v>
      </c>
      <c r="G55" s="36" t="s">
        <v>121</v>
      </c>
      <c r="H55" s="36" t="s">
        <v>28</v>
      </c>
      <c r="I55" s="48" t="s">
        <v>24</v>
      </c>
      <c r="J55" s="46" t="s">
        <v>10</v>
      </c>
      <c r="K55" s="36" t="s">
        <v>226</v>
      </c>
    </row>
    <row r="56" spans="1:59" ht="45" x14ac:dyDescent="0.25">
      <c r="A56" s="29"/>
      <c r="B56" s="36">
        <v>49</v>
      </c>
      <c r="C56" s="36" t="s">
        <v>131</v>
      </c>
      <c r="D56" s="36" t="s">
        <v>108</v>
      </c>
      <c r="E56" s="36">
        <f>224.1+401.4+448.2+348.3+400.5 +539.1+298.8+228.6+300.6+1094.4+160.2+98.1+59.4+363.6</f>
        <v>4965.3</v>
      </c>
      <c r="F56" s="39">
        <v>5000</v>
      </c>
      <c r="G56" s="36" t="s">
        <v>121</v>
      </c>
      <c r="H56" s="36" t="s">
        <v>28</v>
      </c>
      <c r="I56" s="48" t="s">
        <v>24</v>
      </c>
      <c r="J56" s="46" t="s">
        <v>10</v>
      </c>
      <c r="K56" s="36" t="s">
        <v>227</v>
      </c>
    </row>
    <row r="57" spans="1:59" ht="45" x14ac:dyDescent="0.25">
      <c r="A57" s="29"/>
      <c r="B57" s="36">
        <v>50</v>
      </c>
      <c r="C57" s="36" t="s">
        <v>132</v>
      </c>
      <c r="D57" s="36" t="s">
        <v>108</v>
      </c>
      <c r="E57" s="36">
        <f>457+540+234</f>
        <v>1231</v>
      </c>
      <c r="F57" s="39">
        <v>5000</v>
      </c>
      <c r="G57" s="36" t="s">
        <v>121</v>
      </c>
      <c r="H57" s="36" t="s">
        <v>28</v>
      </c>
      <c r="I57" s="48" t="s">
        <v>24</v>
      </c>
      <c r="J57" s="46" t="s">
        <v>10</v>
      </c>
      <c r="K57" s="36" t="s">
        <v>185</v>
      </c>
    </row>
    <row r="58" spans="1:59" ht="45" x14ac:dyDescent="0.25">
      <c r="A58" s="29"/>
      <c r="B58" s="36">
        <v>51</v>
      </c>
      <c r="C58" s="36" t="s">
        <v>133</v>
      </c>
      <c r="D58" s="36" t="s">
        <v>108</v>
      </c>
      <c r="E58" s="36">
        <f>606.9+571.2+60</f>
        <v>1238.0999999999999</v>
      </c>
      <c r="F58" s="39">
        <v>2000</v>
      </c>
      <c r="G58" s="36" t="s">
        <v>121</v>
      </c>
      <c r="H58" s="36" t="s">
        <v>28</v>
      </c>
      <c r="I58" s="48" t="s">
        <v>24</v>
      </c>
      <c r="J58" s="46" t="s">
        <v>10</v>
      </c>
      <c r="K58" s="36" t="s">
        <v>159</v>
      </c>
    </row>
    <row r="59" spans="1:59" ht="45" x14ac:dyDescent="0.25">
      <c r="A59" s="29"/>
      <c r="B59" s="36">
        <v>52</v>
      </c>
      <c r="C59" s="36" t="s">
        <v>134</v>
      </c>
      <c r="D59" s="36" t="s">
        <v>108</v>
      </c>
      <c r="E59" s="36">
        <f>398.38+92.22+397.75+295.91+194.48+835+362.87+197.89+480.03</f>
        <v>3254.5299999999997</v>
      </c>
      <c r="F59" s="39">
        <v>3300</v>
      </c>
      <c r="G59" s="36" t="s">
        <v>121</v>
      </c>
      <c r="H59" s="36" t="s">
        <v>28</v>
      </c>
      <c r="I59" s="48" t="s">
        <v>24</v>
      </c>
      <c r="J59" s="46" t="s">
        <v>10</v>
      </c>
      <c r="K59" s="36" t="s">
        <v>161</v>
      </c>
    </row>
    <row r="60" spans="1:59" ht="45" x14ac:dyDescent="0.25">
      <c r="A60" s="29"/>
      <c r="B60" s="36">
        <v>53</v>
      </c>
      <c r="C60" s="36" t="s">
        <v>135</v>
      </c>
      <c r="D60" s="36" t="s">
        <v>108</v>
      </c>
      <c r="E60" s="36">
        <f>235.87+226.8+614.38+59.64+142.13+398.16+227.81+284.26+338.69+479.3+507.53+596.23+237.38+118.05+494.42+827.57+865.37+222.26+237.89+823.03+375.98+459.65+119.95+558.43+49.5+270.14</f>
        <v>9770.4200000000019</v>
      </c>
      <c r="F60" s="39">
        <v>10000</v>
      </c>
      <c r="G60" s="36" t="s">
        <v>121</v>
      </c>
      <c r="H60" s="36" t="s">
        <v>28</v>
      </c>
      <c r="I60" s="48" t="s">
        <v>24</v>
      </c>
      <c r="J60" s="46" t="s">
        <v>10</v>
      </c>
      <c r="K60" s="36" t="s">
        <v>183</v>
      </c>
    </row>
    <row r="61" spans="1:59" ht="45" x14ac:dyDescent="0.25">
      <c r="A61" s="29"/>
      <c r="B61" s="36">
        <v>54</v>
      </c>
      <c r="C61" s="36" t="s">
        <v>203</v>
      </c>
      <c r="D61" s="36" t="s">
        <v>108</v>
      </c>
      <c r="E61" s="36">
        <f>200+305+60+120+252+238+50+94</f>
        <v>1319</v>
      </c>
      <c r="F61" s="39">
        <v>2000</v>
      </c>
      <c r="G61" s="36" t="s">
        <v>121</v>
      </c>
      <c r="H61" s="36" t="s">
        <v>28</v>
      </c>
      <c r="I61" s="48" t="s">
        <v>24</v>
      </c>
      <c r="J61" s="46" t="s">
        <v>10</v>
      </c>
      <c r="K61" s="36" t="s">
        <v>229</v>
      </c>
    </row>
    <row r="62" spans="1:59" s="9" customFormat="1" ht="45" x14ac:dyDescent="0.25">
      <c r="A62" s="31"/>
      <c r="B62" s="36">
        <v>55</v>
      </c>
      <c r="C62" s="36" t="s">
        <v>136</v>
      </c>
      <c r="D62" s="36" t="s">
        <v>108</v>
      </c>
      <c r="E62" s="36">
        <v>420.08</v>
      </c>
      <c r="F62" s="39">
        <v>1000</v>
      </c>
      <c r="G62" s="36" t="s">
        <v>121</v>
      </c>
      <c r="H62" s="36" t="s">
        <v>28</v>
      </c>
      <c r="I62" s="48" t="s">
        <v>24</v>
      </c>
      <c r="J62" s="46" t="s">
        <v>10</v>
      </c>
      <c r="K62" s="36" t="s">
        <v>184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ht="45" x14ac:dyDescent="0.25">
      <c r="A63" s="29"/>
      <c r="B63" s="36">
        <v>56</v>
      </c>
      <c r="C63" s="36" t="s">
        <v>137</v>
      </c>
      <c r="D63" s="36" t="s">
        <v>108</v>
      </c>
      <c r="E63" s="36">
        <f>387.78+49.5+589.05+148.79+353.82+473.71+492.21+558.85+229.68+360.36+178.99 +34.65+427.87+104.45+85.43+355.14</f>
        <v>4830.2800000000007</v>
      </c>
      <c r="F63" s="39">
        <v>5000</v>
      </c>
      <c r="G63" s="36" t="s">
        <v>121</v>
      </c>
      <c r="H63" s="36" t="s">
        <v>28</v>
      </c>
      <c r="I63" s="48" t="s">
        <v>24</v>
      </c>
      <c r="J63" s="46" t="s">
        <v>10</v>
      </c>
      <c r="K63" s="36" t="s">
        <v>162</v>
      </c>
    </row>
    <row r="64" spans="1:59" ht="45" x14ac:dyDescent="0.25">
      <c r="A64" s="29"/>
      <c r="B64" s="36">
        <v>57</v>
      </c>
      <c r="C64" s="36" t="s">
        <v>138</v>
      </c>
      <c r="D64" s="36" t="s">
        <v>108</v>
      </c>
      <c r="E64" s="36">
        <f>83.6+85.03+92.8+114.4+103.95+46.646+212.74+123.53+46.75+25.13+181.84</f>
        <v>1116.4159999999999</v>
      </c>
      <c r="F64" s="39">
        <v>2000</v>
      </c>
      <c r="G64" s="36" t="s">
        <v>121</v>
      </c>
      <c r="H64" s="36" t="s">
        <v>28</v>
      </c>
      <c r="I64" s="48" t="s">
        <v>24</v>
      </c>
      <c r="J64" s="46" t="s">
        <v>10</v>
      </c>
      <c r="K64" s="36" t="s">
        <v>160</v>
      </c>
    </row>
    <row r="65" spans="1:59" ht="45" x14ac:dyDescent="0.25">
      <c r="A65" s="29"/>
      <c r="B65" s="36">
        <v>58</v>
      </c>
      <c r="C65" s="36" t="s">
        <v>139</v>
      </c>
      <c r="D65" s="36" t="s">
        <v>108</v>
      </c>
      <c r="E65" s="36">
        <f>299.11+348.79+403.2+225.63+117.47+57.35+95.05</f>
        <v>1546.6</v>
      </c>
      <c r="F65" s="39">
        <v>2000</v>
      </c>
      <c r="G65" s="36" t="s">
        <v>121</v>
      </c>
      <c r="H65" s="36" t="s">
        <v>28</v>
      </c>
      <c r="I65" s="48" t="s">
        <v>24</v>
      </c>
      <c r="J65" s="46" t="s">
        <v>10</v>
      </c>
      <c r="K65" s="36" t="s">
        <v>181</v>
      </c>
    </row>
    <row r="66" spans="1:59" ht="11.25" x14ac:dyDescent="0.25">
      <c r="A66" s="29"/>
      <c r="B66" s="36">
        <v>59</v>
      </c>
      <c r="C66" s="36" t="s">
        <v>140</v>
      </c>
      <c r="D66" s="36" t="s">
        <v>141</v>
      </c>
      <c r="E66" s="36" t="s">
        <v>285</v>
      </c>
      <c r="F66" s="39">
        <v>4436.1499999999996</v>
      </c>
      <c r="G66" s="36" t="s">
        <v>121</v>
      </c>
      <c r="H66" s="36" t="s">
        <v>28</v>
      </c>
      <c r="I66" s="48" t="s">
        <v>7</v>
      </c>
      <c r="J66" s="46" t="s">
        <v>142</v>
      </c>
      <c r="K66" s="36" t="s">
        <v>179</v>
      </c>
    </row>
    <row r="67" spans="1:59" ht="45" x14ac:dyDescent="0.25">
      <c r="A67" s="29"/>
      <c r="B67" s="36">
        <v>60</v>
      </c>
      <c r="C67" s="36" t="s">
        <v>126</v>
      </c>
      <c r="D67" s="36" t="s">
        <v>108</v>
      </c>
      <c r="E67" s="36">
        <f>147.5+106.06+526.87+599.44+55</f>
        <v>1434.8700000000001</v>
      </c>
      <c r="F67" s="39">
        <v>2000</v>
      </c>
      <c r="G67" s="36" t="s">
        <v>148</v>
      </c>
      <c r="H67" s="36" t="s">
        <v>28</v>
      </c>
      <c r="I67" s="48" t="s">
        <v>24</v>
      </c>
      <c r="J67" s="46" t="s">
        <v>10</v>
      </c>
      <c r="K67" s="36" t="s">
        <v>158</v>
      </c>
    </row>
    <row r="68" spans="1:59" s="9" customFormat="1" ht="45" x14ac:dyDescent="0.25">
      <c r="A68" s="31"/>
      <c r="B68" s="36">
        <v>61</v>
      </c>
      <c r="C68" s="36" t="s">
        <v>149</v>
      </c>
      <c r="D68" s="36" t="s">
        <v>108</v>
      </c>
      <c r="E68" s="36">
        <v>250</v>
      </c>
      <c r="F68" s="39">
        <v>2000</v>
      </c>
      <c r="G68" s="36" t="s">
        <v>148</v>
      </c>
      <c r="H68" s="36" t="s">
        <v>28</v>
      </c>
      <c r="I68" s="48" t="s">
        <v>24</v>
      </c>
      <c r="J68" s="46" t="s">
        <v>10</v>
      </c>
      <c r="K68" s="36" t="s">
        <v>222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ht="45" x14ac:dyDescent="0.25">
      <c r="A69" s="29"/>
      <c r="B69" s="36">
        <v>62</v>
      </c>
      <c r="C69" s="36" t="s">
        <v>150</v>
      </c>
      <c r="D69" s="36" t="s">
        <v>108</v>
      </c>
      <c r="E69" s="36">
        <f>300+120</f>
        <v>420</v>
      </c>
      <c r="F69" s="39">
        <v>2000</v>
      </c>
      <c r="G69" s="36" t="s">
        <v>148</v>
      </c>
      <c r="H69" s="36" t="s">
        <v>28</v>
      </c>
      <c r="I69" s="48" t="s">
        <v>24</v>
      </c>
      <c r="J69" s="46" t="s">
        <v>10</v>
      </c>
      <c r="K69" s="36" t="s">
        <v>212</v>
      </c>
    </row>
    <row r="70" spans="1:59" ht="45" x14ac:dyDescent="0.25">
      <c r="A70" s="29"/>
      <c r="B70" s="36">
        <v>63</v>
      </c>
      <c r="C70" s="36" t="s">
        <v>151</v>
      </c>
      <c r="D70" s="36" t="s">
        <v>108</v>
      </c>
      <c r="E70" s="36">
        <f>600.3+839.7+744.3+155.7+534.6+172.8</f>
        <v>3047.4</v>
      </c>
      <c r="F70" s="39">
        <v>4000</v>
      </c>
      <c r="G70" s="36" t="s">
        <v>148</v>
      </c>
      <c r="H70" s="36" t="s">
        <v>28</v>
      </c>
      <c r="I70" s="48" t="s">
        <v>24</v>
      </c>
      <c r="J70" s="46" t="s">
        <v>10</v>
      </c>
      <c r="K70" s="36" t="s">
        <v>182</v>
      </c>
    </row>
    <row r="71" spans="1:59" ht="45" x14ac:dyDescent="0.25">
      <c r="A71" s="29"/>
      <c r="B71" s="36">
        <v>64</v>
      </c>
      <c r="C71" s="36" t="s">
        <v>152</v>
      </c>
      <c r="D71" s="36" t="s">
        <v>108</v>
      </c>
      <c r="E71" s="36">
        <f>200+120+335+395+513+177</f>
        <v>1740</v>
      </c>
      <c r="F71" s="39">
        <v>2000</v>
      </c>
      <c r="G71" s="36" t="s">
        <v>148</v>
      </c>
      <c r="H71" s="36" t="s">
        <v>28</v>
      </c>
      <c r="I71" s="48" t="s">
        <v>24</v>
      </c>
      <c r="J71" s="46" t="s">
        <v>10</v>
      </c>
      <c r="K71" s="36" t="s">
        <v>202</v>
      </c>
    </row>
    <row r="72" spans="1:59" ht="45" x14ac:dyDescent="0.25">
      <c r="A72" s="29"/>
      <c r="B72" s="36">
        <v>65</v>
      </c>
      <c r="C72" s="36" t="s">
        <v>153</v>
      </c>
      <c r="D72" s="36" t="s">
        <v>108</v>
      </c>
      <c r="E72" s="36">
        <f>198+249.7+59.4+438.9+57.2+179.3+479.6+199.1+238.7+473+419.1+298.1+416.9+398.2+99+119.9</f>
        <v>4324.0999999999995</v>
      </c>
      <c r="F72" s="39">
        <v>4000</v>
      </c>
      <c r="G72" s="36" t="s">
        <v>148</v>
      </c>
      <c r="H72" s="36" t="s">
        <v>28</v>
      </c>
      <c r="I72" s="48" t="s">
        <v>24</v>
      </c>
      <c r="J72" s="46" t="s">
        <v>10</v>
      </c>
      <c r="K72" s="36" t="s">
        <v>205</v>
      </c>
    </row>
    <row r="73" spans="1:59" s="9" customFormat="1" ht="45" x14ac:dyDescent="0.25">
      <c r="A73" s="31"/>
      <c r="B73" s="36">
        <v>66</v>
      </c>
      <c r="C73" s="36" t="s">
        <v>154</v>
      </c>
      <c r="D73" s="36" t="s">
        <v>5</v>
      </c>
      <c r="E73" s="36">
        <f>1414+260+17736+7020+519.98+5088+780+4160+318+1040+1274.4</f>
        <v>39610.379999999997</v>
      </c>
      <c r="F73" s="39">
        <v>100000</v>
      </c>
      <c r="G73" s="36" t="s">
        <v>148</v>
      </c>
      <c r="H73" s="36" t="s">
        <v>28</v>
      </c>
      <c r="I73" s="48" t="s">
        <v>24</v>
      </c>
      <c r="J73" s="46" t="s">
        <v>10</v>
      </c>
      <c r="K73" s="36" t="s">
        <v>244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s="9" customFormat="1" ht="45" x14ac:dyDescent="0.25">
      <c r="A74" s="31"/>
      <c r="B74" s="36">
        <v>67</v>
      </c>
      <c r="C74" s="36" t="s">
        <v>155</v>
      </c>
      <c r="D74" s="36" t="s">
        <v>5</v>
      </c>
      <c r="E74" s="36">
        <f>115.5+231+346.5+1848+3696+231+3234</f>
        <v>9702</v>
      </c>
      <c r="F74" s="39">
        <v>10000</v>
      </c>
      <c r="G74" s="36" t="s">
        <v>148</v>
      </c>
      <c r="H74" s="36" t="s">
        <v>28</v>
      </c>
      <c r="I74" s="48" t="s">
        <v>24</v>
      </c>
      <c r="J74" s="46" t="s">
        <v>10</v>
      </c>
      <c r="K74" s="36" t="s">
        <v>206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s="9" customFormat="1" ht="45" x14ac:dyDescent="0.25">
      <c r="A75" s="31"/>
      <c r="B75" s="36">
        <v>68</v>
      </c>
      <c r="C75" s="36" t="s">
        <v>156</v>
      </c>
      <c r="D75" s="36" t="s">
        <v>5</v>
      </c>
      <c r="E75" s="36">
        <f>1090+700+5600+4200+4280+2800+350+7280+700+3500+7700</f>
        <v>38200</v>
      </c>
      <c r="F75" s="39">
        <v>50000</v>
      </c>
      <c r="G75" s="36" t="s">
        <v>148</v>
      </c>
      <c r="H75" s="36" t="s">
        <v>28</v>
      </c>
      <c r="I75" s="48" t="s">
        <v>24</v>
      </c>
      <c r="J75" s="46" t="s">
        <v>10</v>
      </c>
      <c r="K75" s="36" t="s">
        <v>168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s="9" customFormat="1" ht="45" x14ac:dyDescent="0.25">
      <c r="A76" s="31"/>
      <c r="B76" s="36">
        <v>69</v>
      </c>
      <c r="C76" s="36" t="s">
        <v>164</v>
      </c>
      <c r="D76" s="36" t="s">
        <v>108</v>
      </c>
      <c r="E76" s="36">
        <f>46+200</f>
        <v>246</v>
      </c>
      <c r="F76" s="39">
        <v>2000</v>
      </c>
      <c r="G76" s="36" t="s">
        <v>163</v>
      </c>
      <c r="H76" s="36" t="s">
        <v>28</v>
      </c>
      <c r="I76" s="48" t="s">
        <v>24</v>
      </c>
      <c r="J76" s="46" t="s">
        <v>10</v>
      </c>
      <c r="K76" s="36" t="s">
        <v>255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ht="45" x14ac:dyDescent="0.25">
      <c r="A77" s="29"/>
      <c r="B77" s="36">
        <v>70</v>
      </c>
      <c r="C77" s="36" t="s">
        <v>165</v>
      </c>
      <c r="D77" s="36" t="s">
        <v>108</v>
      </c>
      <c r="E77" s="36">
        <f>800 +420+50+450+50+150+450+50</f>
        <v>2420</v>
      </c>
      <c r="F77" s="39">
        <v>7000</v>
      </c>
      <c r="G77" s="36" t="s">
        <v>163</v>
      </c>
      <c r="H77" s="36" t="s">
        <v>28</v>
      </c>
      <c r="I77" s="48" t="s">
        <v>24</v>
      </c>
      <c r="J77" s="46" t="s">
        <v>10</v>
      </c>
      <c r="K77" s="36" t="s">
        <v>243</v>
      </c>
    </row>
    <row r="78" spans="1:59" ht="45" x14ac:dyDescent="0.25">
      <c r="A78" s="29"/>
      <c r="B78" s="36">
        <v>71</v>
      </c>
      <c r="C78" s="36" t="s">
        <v>166</v>
      </c>
      <c r="D78" s="36" t="s">
        <v>108</v>
      </c>
      <c r="E78" s="36">
        <f>275.72+327.1+181.57+631.92+59.3+98.7+243.14</f>
        <v>1817.4499999999998</v>
      </c>
      <c r="F78" s="39">
        <v>2000</v>
      </c>
      <c r="G78" s="36" t="s">
        <v>163</v>
      </c>
      <c r="H78" s="36" t="s">
        <v>28</v>
      </c>
      <c r="I78" s="48" t="s">
        <v>24</v>
      </c>
      <c r="J78" s="46" t="s">
        <v>10</v>
      </c>
      <c r="K78" s="36" t="s">
        <v>219</v>
      </c>
    </row>
    <row r="79" spans="1:59" ht="45" x14ac:dyDescent="0.25">
      <c r="A79" s="29"/>
      <c r="B79" s="36">
        <v>72</v>
      </c>
      <c r="C79" s="36" t="s">
        <v>167</v>
      </c>
      <c r="D79" s="36" t="s">
        <v>108</v>
      </c>
      <c r="E79" s="36">
        <f>47.3+237.43+374.88+49.39+94.27+434.83</f>
        <v>1238.0999999999999</v>
      </c>
      <c r="F79" s="39">
        <v>2000</v>
      </c>
      <c r="G79" s="36" t="s">
        <v>163</v>
      </c>
      <c r="H79" s="36" t="s">
        <v>28</v>
      </c>
      <c r="I79" s="48" t="s">
        <v>24</v>
      </c>
      <c r="J79" s="46" t="s">
        <v>10</v>
      </c>
      <c r="K79" s="36" t="s">
        <v>240</v>
      </c>
    </row>
    <row r="80" spans="1:59" ht="45" x14ac:dyDescent="0.25">
      <c r="A80" s="29"/>
      <c r="B80" s="36">
        <v>73</v>
      </c>
      <c r="C80" s="36" t="s">
        <v>176</v>
      </c>
      <c r="D80" s="36" t="s">
        <v>5</v>
      </c>
      <c r="E80" s="36" t="s">
        <v>448</v>
      </c>
      <c r="F80" s="39">
        <v>4118.99</v>
      </c>
      <c r="G80" s="36" t="s">
        <v>175</v>
      </c>
      <c r="H80" s="36" t="s">
        <v>56</v>
      </c>
      <c r="I80" s="48" t="s">
        <v>24</v>
      </c>
      <c r="J80" s="46" t="s">
        <v>10</v>
      </c>
      <c r="K80" s="36" t="s">
        <v>241</v>
      </c>
    </row>
    <row r="81" spans="1:59" s="3" customFormat="1" ht="45" x14ac:dyDescent="0.25">
      <c r="A81" s="29"/>
      <c r="B81" s="36">
        <v>74</v>
      </c>
      <c r="C81" s="36" t="s">
        <v>177</v>
      </c>
      <c r="D81" s="36" t="s">
        <v>110</v>
      </c>
      <c r="E81" s="36" t="s">
        <v>296</v>
      </c>
      <c r="F81" s="39">
        <v>1970</v>
      </c>
      <c r="G81" s="36" t="s">
        <v>175</v>
      </c>
      <c r="H81" s="36" t="s">
        <v>56</v>
      </c>
      <c r="I81" s="48" t="s">
        <v>24</v>
      </c>
      <c r="J81" s="46" t="s">
        <v>10</v>
      </c>
      <c r="K81" s="36" t="s">
        <v>242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ht="45" x14ac:dyDescent="0.25">
      <c r="A82" s="29"/>
      <c r="B82" s="36">
        <v>75</v>
      </c>
      <c r="C82" s="36" t="s">
        <v>186</v>
      </c>
      <c r="D82" s="36" t="s">
        <v>108</v>
      </c>
      <c r="E82" s="36">
        <f>243.1+145.2+320.24+199.1 +231.41+149.04+253.1+121.55+331.46</f>
        <v>1994.1999999999998</v>
      </c>
      <c r="F82" s="39">
        <v>3000</v>
      </c>
      <c r="G82" s="36" t="s">
        <v>175</v>
      </c>
      <c r="H82" s="36" t="s">
        <v>28</v>
      </c>
      <c r="I82" s="48" t="s">
        <v>24</v>
      </c>
      <c r="J82" s="46" t="s">
        <v>10</v>
      </c>
      <c r="K82" s="36" t="s">
        <v>218</v>
      </c>
    </row>
    <row r="83" spans="1:59" ht="45" x14ac:dyDescent="0.25">
      <c r="A83" s="29"/>
      <c r="B83" s="36">
        <v>76</v>
      </c>
      <c r="C83" s="36" t="s">
        <v>187</v>
      </c>
      <c r="D83" s="36" t="s">
        <v>108</v>
      </c>
      <c r="E83" s="36">
        <f>49.5+185.35+240.35+35.2+250.8+1470.7+98+50.05+44</f>
        <v>2423.9500000000003</v>
      </c>
      <c r="F83" s="39">
        <v>3000</v>
      </c>
      <c r="G83" s="36" t="s">
        <v>175</v>
      </c>
      <c r="H83" s="36" t="s">
        <v>28</v>
      </c>
      <c r="I83" s="48" t="s">
        <v>24</v>
      </c>
      <c r="J83" s="46" t="s">
        <v>10</v>
      </c>
      <c r="K83" s="36" t="s">
        <v>267</v>
      </c>
    </row>
    <row r="84" spans="1:59" ht="45" x14ac:dyDescent="0.25">
      <c r="A84" s="29"/>
      <c r="B84" s="36">
        <v>77</v>
      </c>
      <c r="C84" s="36" t="s">
        <v>188</v>
      </c>
      <c r="D84" s="36" t="s">
        <v>108</v>
      </c>
      <c r="E84" s="36">
        <f>298.8+94.75+170.18</f>
        <v>563.73</v>
      </c>
      <c r="F84" s="39">
        <v>1000</v>
      </c>
      <c r="G84" s="36" t="s">
        <v>175</v>
      </c>
      <c r="H84" s="36" t="s">
        <v>28</v>
      </c>
      <c r="I84" s="48" t="s">
        <v>24</v>
      </c>
      <c r="J84" s="46" t="s">
        <v>10</v>
      </c>
      <c r="K84" s="36" t="s">
        <v>220</v>
      </c>
    </row>
    <row r="85" spans="1:59" ht="45" x14ac:dyDescent="0.25">
      <c r="A85" s="29"/>
      <c r="B85" s="36">
        <v>78</v>
      </c>
      <c r="C85" s="36" t="s">
        <v>189</v>
      </c>
      <c r="D85" s="36" t="s">
        <v>108</v>
      </c>
      <c r="E85" s="36">
        <f>50+396+1199+59.84+177</f>
        <v>1881.84</v>
      </c>
      <c r="F85" s="39">
        <v>2000</v>
      </c>
      <c r="G85" s="36" t="s">
        <v>175</v>
      </c>
      <c r="H85" s="36" t="s">
        <v>28</v>
      </c>
      <c r="I85" s="48" t="s">
        <v>24</v>
      </c>
      <c r="J85" s="46" t="s">
        <v>10</v>
      </c>
      <c r="K85" s="36" t="s">
        <v>221</v>
      </c>
    </row>
    <row r="86" spans="1:59" ht="112.5" x14ac:dyDescent="0.25">
      <c r="A86" s="29"/>
      <c r="B86" s="36">
        <v>80</v>
      </c>
      <c r="C86" s="36" t="s">
        <v>191</v>
      </c>
      <c r="D86" s="36" t="s">
        <v>192</v>
      </c>
      <c r="E86" s="36">
        <f>15+900+15.004+21</f>
        <v>951.00400000000002</v>
      </c>
      <c r="F86" s="39">
        <v>1000</v>
      </c>
      <c r="G86" s="36" t="s">
        <v>190</v>
      </c>
      <c r="H86" s="36" t="s">
        <v>28</v>
      </c>
      <c r="I86" s="48" t="s">
        <v>24</v>
      </c>
      <c r="J86" s="46" t="s">
        <v>18</v>
      </c>
      <c r="K86" s="36" t="s">
        <v>238</v>
      </c>
    </row>
    <row r="87" spans="1:59" s="9" customFormat="1" ht="90" x14ac:dyDescent="0.25">
      <c r="A87" s="31"/>
      <c r="B87" s="36">
        <v>81</v>
      </c>
      <c r="C87" s="36" t="s">
        <v>193</v>
      </c>
      <c r="D87" s="36" t="s">
        <v>194</v>
      </c>
      <c r="E87" s="36">
        <f>475+502</f>
        <v>977</v>
      </c>
      <c r="F87" s="39">
        <v>1000</v>
      </c>
      <c r="G87" s="36" t="s">
        <v>190</v>
      </c>
      <c r="H87" s="36" t="s">
        <v>28</v>
      </c>
      <c r="I87" s="48" t="s">
        <v>24</v>
      </c>
      <c r="J87" s="46" t="s">
        <v>18</v>
      </c>
      <c r="K87" s="36" t="s">
        <v>268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1:59" ht="90" x14ac:dyDescent="0.25">
      <c r="A88" s="29"/>
      <c r="B88" s="36">
        <v>82</v>
      </c>
      <c r="C88" s="36" t="s">
        <v>195</v>
      </c>
      <c r="D88" s="36" t="s">
        <v>197</v>
      </c>
      <c r="E88" s="36">
        <f>22944.84+28066.37</f>
        <v>51011.21</v>
      </c>
      <c r="F88" s="39">
        <v>51011.21</v>
      </c>
      <c r="G88" s="36" t="s">
        <v>190</v>
      </c>
      <c r="H88" s="36" t="s">
        <v>56</v>
      </c>
      <c r="I88" s="48" t="s">
        <v>24</v>
      </c>
      <c r="J88" s="51" t="s">
        <v>112</v>
      </c>
      <c r="K88" s="36" t="s">
        <v>213</v>
      </c>
    </row>
    <row r="89" spans="1:59" ht="90" x14ac:dyDescent="0.25">
      <c r="A89" s="29"/>
      <c r="B89" s="36">
        <v>83</v>
      </c>
      <c r="C89" s="36" t="s">
        <v>196</v>
      </c>
      <c r="D89" s="36" t="s">
        <v>198</v>
      </c>
      <c r="E89" s="36" t="s">
        <v>294</v>
      </c>
      <c r="F89" s="39" t="s">
        <v>294</v>
      </c>
      <c r="G89" s="36" t="s">
        <v>190</v>
      </c>
      <c r="H89" s="36" t="s">
        <v>56</v>
      </c>
      <c r="I89" s="48" t="s">
        <v>24</v>
      </c>
      <c r="J89" s="51" t="s">
        <v>112</v>
      </c>
      <c r="K89" s="36" t="s">
        <v>295</v>
      </c>
    </row>
    <row r="90" spans="1:59" ht="90" x14ac:dyDescent="0.25">
      <c r="A90" s="29"/>
      <c r="B90" s="36">
        <v>84</v>
      </c>
      <c r="C90" s="36" t="s">
        <v>199</v>
      </c>
      <c r="D90" s="36" t="s">
        <v>200</v>
      </c>
      <c r="E90" s="36" t="s">
        <v>305</v>
      </c>
      <c r="F90" s="39" t="s">
        <v>305</v>
      </c>
      <c r="G90" s="36" t="s">
        <v>190</v>
      </c>
      <c r="H90" s="36" t="s">
        <v>56</v>
      </c>
      <c r="I90" s="48" t="s">
        <v>24</v>
      </c>
      <c r="J90" s="51" t="s">
        <v>112</v>
      </c>
      <c r="K90" s="36" t="s">
        <v>254</v>
      </c>
    </row>
    <row r="91" spans="1:59" ht="45" x14ac:dyDescent="0.25">
      <c r="A91" s="29"/>
      <c r="B91" s="36">
        <v>85</v>
      </c>
      <c r="C91" s="36" t="s">
        <v>201</v>
      </c>
      <c r="D91" s="36" t="s">
        <v>108</v>
      </c>
      <c r="E91" s="36">
        <f>185.85+600.03+780.04+1314.28+1618.96</f>
        <v>4499.16</v>
      </c>
      <c r="F91" s="39">
        <v>5000</v>
      </c>
      <c r="G91" s="36" t="s">
        <v>190</v>
      </c>
      <c r="H91" s="36" t="s">
        <v>56</v>
      </c>
      <c r="I91" s="48" t="s">
        <v>24</v>
      </c>
      <c r="J91" s="46" t="s">
        <v>3</v>
      </c>
      <c r="K91" s="36" t="s">
        <v>223</v>
      </c>
    </row>
    <row r="92" spans="1:59" ht="45" x14ac:dyDescent="0.25">
      <c r="A92" s="29"/>
      <c r="B92" s="36">
        <v>87</v>
      </c>
      <c r="C92" s="36" t="s">
        <v>217</v>
      </c>
      <c r="D92" s="36" t="s">
        <v>108</v>
      </c>
      <c r="E92" s="36">
        <f>190.3+395.45+143.64</f>
        <v>729.39</v>
      </c>
      <c r="F92" s="39">
        <v>2000</v>
      </c>
      <c r="G92" s="36" t="s">
        <v>190</v>
      </c>
      <c r="H92" s="36" t="s">
        <v>56</v>
      </c>
      <c r="I92" s="48" t="s">
        <v>24</v>
      </c>
      <c r="J92" s="46" t="s">
        <v>3</v>
      </c>
      <c r="K92" s="36" t="s">
        <v>252</v>
      </c>
    </row>
    <row r="93" spans="1:59" ht="45" x14ac:dyDescent="0.25">
      <c r="A93" s="29"/>
      <c r="B93" s="36">
        <v>88</v>
      </c>
      <c r="C93" s="36" t="s">
        <v>209</v>
      </c>
      <c r="D93" s="36" t="s">
        <v>110</v>
      </c>
      <c r="E93" s="36">
        <v>760</v>
      </c>
      <c r="F93" s="39">
        <v>760</v>
      </c>
      <c r="G93" s="36" t="s">
        <v>208</v>
      </c>
      <c r="H93" s="36" t="s">
        <v>56</v>
      </c>
      <c r="I93" s="48" t="s">
        <v>24</v>
      </c>
      <c r="J93" s="46" t="s">
        <v>3</v>
      </c>
      <c r="K93" s="36" t="s">
        <v>253</v>
      </c>
    </row>
    <row r="94" spans="1:59" ht="45" x14ac:dyDescent="0.25">
      <c r="A94" s="29"/>
      <c r="B94" s="36">
        <v>89</v>
      </c>
      <c r="C94" s="36" t="s">
        <v>78</v>
      </c>
      <c r="D94" s="36" t="s">
        <v>72</v>
      </c>
      <c r="E94" s="36">
        <f>420+175+70+35+280</f>
        <v>980</v>
      </c>
      <c r="F94" s="39">
        <v>1400</v>
      </c>
      <c r="G94" s="36" t="s">
        <v>210</v>
      </c>
      <c r="H94" s="36" t="s">
        <v>28</v>
      </c>
      <c r="I94" s="48" t="s">
        <v>24</v>
      </c>
      <c r="J94" s="46" t="s">
        <v>3</v>
      </c>
      <c r="K94" s="36" t="s">
        <v>239</v>
      </c>
    </row>
    <row r="95" spans="1:59" ht="45" x14ac:dyDescent="0.25">
      <c r="A95" s="29"/>
      <c r="B95" s="36">
        <v>90</v>
      </c>
      <c r="C95" s="36" t="s">
        <v>211</v>
      </c>
      <c r="D95" s="36" t="s">
        <v>108</v>
      </c>
      <c r="E95" s="36">
        <f>105.93+76.23+185.9+1200</f>
        <v>1568.06</v>
      </c>
      <c r="F95" s="39">
        <v>3000</v>
      </c>
      <c r="G95" s="36" t="s">
        <v>210</v>
      </c>
      <c r="H95" s="36" t="s">
        <v>28</v>
      </c>
      <c r="I95" s="48" t="s">
        <v>24</v>
      </c>
      <c r="J95" s="46" t="s">
        <v>3</v>
      </c>
      <c r="K95" s="36" t="s">
        <v>251</v>
      </c>
    </row>
    <row r="96" spans="1:59" s="9" customFormat="1" ht="45.75" x14ac:dyDescent="0.25">
      <c r="A96" s="31"/>
      <c r="B96" s="36">
        <v>91</v>
      </c>
      <c r="C96" s="36" t="s">
        <v>214</v>
      </c>
      <c r="D96" s="36" t="s">
        <v>215</v>
      </c>
      <c r="E96" s="36">
        <v>175</v>
      </c>
      <c r="F96" s="39">
        <v>175</v>
      </c>
      <c r="G96" s="36" t="s">
        <v>210</v>
      </c>
      <c r="H96" s="36" t="s">
        <v>28</v>
      </c>
      <c r="I96" s="48" t="s">
        <v>24</v>
      </c>
      <c r="J96" s="46" t="s">
        <v>6</v>
      </c>
      <c r="K96" s="36" t="s">
        <v>291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59" s="9" customFormat="1" ht="45" x14ac:dyDescent="0.25">
      <c r="A97" s="31"/>
      <c r="B97" s="36">
        <v>92</v>
      </c>
      <c r="C97" s="36" t="s">
        <v>216</v>
      </c>
      <c r="D97" s="36" t="s">
        <v>108</v>
      </c>
      <c r="E97" s="36">
        <f>257.4+1855.15+771.1+111.65+58.3+418 +235.95+85.8+462.55+233.75</f>
        <v>4489.6500000000005</v>
      </c>
      <c r="F97" s="39">
        <v>5000</v>
      </c>
      <c r="G97" s="36" t="s">
        <v>210</v>
      </c>
      <c r="H97" s="36" t="s">
        <v>28</v>
      </c>
      <c r="I97" s="48" t="s">
        <v>24</v>
      </c>
      <c r="J97" s="46" t="s">
        <v>3</v>
      </c>
      <c r="K97" s="36" t="s">
        <v>423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1:59" s="9" customFormat="1" ht="45" x14ac:dyDescent="0.25">
      <c r="A98" s="32"/>
      <c r="B98" s="36">
        <v>93</v>
      </c>
      <c r="C98" s="36" t="s">
        <v>109</v>
      </c>
      <c r="D98" s="36" t="s">
        <v>110</v>
      </c>
      <c r="E98" s="36" t="s">
        <v>299</v>
      </c>
      <c r="F98" s="39">
        <v>2750</v>
      </c>
      <c r="G98" s="36" t="s">
        <v>230</v>
      </c>
      <c r="H98" s="36" t="s">
        <v>56</v>
      </c>
      <c r="I98" s="48" t="s">
        <v>24</v>
      </c>
      <c r="J98" s="46" t="s">
        <v>3</v>
      </c>
      <c r="K98" s="36" t="s">
        <v>298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1:59" ht="45" x14ac:dyDescent="0.25">
      <c r="A99" s="32"/>
      <c r="B99" s="36">
        <v>94</v>
      </c>
      <c r="C99" s="36" t="s">
        <v>231</v>
      </c>
      <c r="D99" s="36" t="s">
        <v>232</v>
      </c>
      <c r="E99" s="36" t="s">
        <v>300</v>
      </c>
      <c r="F99" s="39">
        <v>1960</v>
      </c>
      <c r="G99" s="36" t="s">
        <v>230</v>
      </c>
      <c r="H99" s="36" t="s">
        <v>56</v>
      </c>
      <c r="I99" s="48" t="s">
        <v>24</v>
      </c>
      <c r="J99" s="46" t="s">
        <v>3</v>
      </c>
      <c r="K99" s="36" t="s">
        <v>245</v>
      </c>
    </row>
    <row r="100" spans="1:59" ht="45" x14ac:dyDescent="0.25">
      <c r="A100" s="32"/>
      <c r="B100" s="36">
        <v>95</v>
      </c>
      <c r="C100" s="36" t="s">
        <v>233</v>
      </c>
      <c r="D100" s="36" t="s">
        <v>108</v>
      </c>
      <c r="E100" s="36">
        <v>197.89</v>
      </c>
      <c r="F100" s="39">
        <v>200</v>
      </c>
      <c r="G100" s="36" t="s">
        <v>230</v>
      </c>
      <c r="H100" s="36" t="s">
        <v>56</v>
      </c>
      <c r="I100" s="48" t="s">
        <v>24</v>
      </c>
      <c r="J100" s="46" t="s">
        <v>3</v>
      </c>
      <c r="K100" s="36" t="s">
        <v>424</v>
      </c>
    </row>
    <row r="101" spans="1:59" ht="45" x14ac:dyDescent="0.25">
      <c r="A101" s="32"/>
      <c r="B101" s="36">
        <v>96</v>
      </c>
      <c r="C101" s="36" t="s">
        <v>234</v>
      </c>
      <c r="D101" s="36" t="s">
        <v>5</v>
      </c>
      <c r="E101" s="36">
        <v>390</v>
      </c>
      <c r="F101" s="39">
        <v>390</v>
      </c>
      <c r="G101" s="36" t="s">
        <v>230</v>
      </c>
      <c r="H101" s="36" t="s">
        <v>56</v>
      </c>
      <c r="I101" s="48" t="s">
        <v>24</v>
      </c>
      <c r="J101" s="46" t="s">
        <v>3</v>
      </c>
      <c r="K101" s="36" t="s">
        <v>425</v>
      </c>
    </row>
    <row r="102" spans="1:59" ht="45" x14ac:dyDescent="0.25">
      <c r="A102" s="32"/>
      <c r="B102" s="36">
        <v>97</v>
      </c>
      <c r="C102" s="36" t="s">
        <v>234</v>
      </c>
      <c r="D102" s="36" t="s">
        <v>108</v>
      </c>
      <c r="E102" s="36">
        <v>250</v>
      </c>
      <c r="F102" s="39">
        <v>250</v>
      </c>
      <c r="G102" s="36" t="s">
        <v>230</v>
      </c>
      <c r="H102" s="36" t="s">
        <v>56</v>
      </c>
      <c r="I102" s="48" t="s">
        <v>24</v>
      </c>
      <c r="J102" s="46" t="s">
        <v>3</v>
      </c>
      <c r="K102" s="36" t="s">
        <v>426</v>
      </c>
    </row>
    <row r="103" spans="1:59" ht="45" x14ac:dyDescent="0.25">
      <c r="A103" s="32"/>
      <c r="B103" s="36">
        <v>98</v>
      </c>
      <c r="C103" s="36" t="s">
        <v>235</v>
      </c>
      <c r="D103" s="36" t="s">
        <v>108</v>
      </c>
      <c r="E103" s="36">
        <v>200</v>
      </c>
      <c r="F103" s="39">
        <v>200</v>
      </c>
      <c r="G103" s="36" t="s">
        <v>230</v>
      </c>
      <c r="H103" s="36" t="s">
        <v>56</v>
      </c>
      <c r="I103" s="48" t="s">
        <v>24</v>
      </c>
      <c r="J103" s="46" t="s">
        <v>3</v>
      </c>
      <c r="K103" s="36" t="s">
        <v>427</v>
      </c>
    </row>
    <row r="104" spans="1:59" s="9" customFormat="1" ht="45" x14ac:dyDescent="0.25">
      <c r="A104" s="31"/>
      <c r="B104" s="36">
        <v>99</v>
      </c>
      <c r="C104" s="36" t="s">
        <v>236</v>
      </c>
      <c r="D104" s="36" t="s">
        <v>108</v>
      </c>
      <c r="E104" s="36">
        <f>139.59+191.87+446.79+92.67</f>
        <v>870.92</v>
      </c>
      <c r="F104" s="39">
        <v>2000</v>
      </c>
      <c r="G104" s="36" t="s">
        <v>230</v>
      </c>
      <c r="H104" s="36" t="s">
        <v>28</v>
      </c>
      <c r="I104" s="48" t="s">
        <v>24</v>
      </c>
      <c r="J104" s="46" t="s">
        <v>3</v>
      </c>
      <c r="K104" s="36" t="s">
        <v>428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 s="9" customFormat="1" ht="45" x14ac:dyDescent="0.25">
      <c r="A105" s="31"/>
      <c r="B105" s="36">
        <v>100</v>
      </c>
      <c r="C105" s="36" t="s">
        <v>127</v>
      </c>
      <c r="D105" s="36" t="s">
        <v>108</v>
      </c>
      <c r="E105" s="36">
        <f>118+115.5+155+400 +92.5+76.5+38.5+208+167+103+104.5</f>
        <v>1578.5</v>
      </c>
      <c r="F105" s="39">
        <v>2000</v>
      </c>
      <c r="G105" s="36" t="s">
        <v>230</v>
      </c>
      <c r="H105" s="36" t="s">
        <v>28</v>
      </c>
      <c r="I105" s="48" t="s">
        <v>24</v>
      </c>
      <c r="J105" s="46" t="s">
        <v>3</v>
      </c>
      <c r="K105" s="36" t="s">
        <v>429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1:59" s="9" customFormat="1" ht="45" x14ac:dyDescent="0.25">
      <c r="A106" s="31"/>
      <c r="B106" s="36">
        <v>101</v>
      </c>
      <c r="C106" s="36" t="s">
        <v>237</v>
      </c>
      <c r="D106" s="36" t="s">
        <v>108</v>
      </c>
      <c r="E106" s="36">
        <f>179.68+240+475.2+449.9+212.85+357.39</f>
        <v>1915.02</v>
      </c>
      <c r="F106" s="39">
        <v>2000</v>
      </c>
      <c r="G106" s="36" t="s">
        <v>230</v>
      </c>
      <c r="H106" s="36" t="s">
        <v>28</v>
      </c>
      <c r="I106" s="48" t="s">
        <v>24</v>
      </c>
      <c r="J106" s="46" t="s">
        <v>3</v>
      </c>
      <c r="K106" s="36" t="s">
        <v>306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1:59" ht="45" x14ac:dyDescent="0.25">
      <c r="A107" s="29"/>
      <c r="B107" s="36">
        <v>102</v>
      </c>
      <c r="C107" s="36" t="s">
        <v>123</v>
      </c>
      <c r="D107" s="36" t="s">
        <v>108</v>
      </c>
      <c r="E107" s="36">
        <f>450+250+260+60+660+180+338+36+220+660+960+46+51+440+50</f>
        <v>4661</v>
      </c>
      <c r="F107" s="39">
        <v>5000</v>
      </c>
      <c r="G107" s="36" t="s">
        <v>230</v>
      </c>
      <c r="H107" s="36" t="s">
        <v>28</v>
      </c>
      <c r="I107" s="48" t="s">
        <v>24</v>
      </c>
      <c r="J107" s="46" t="s">
        <v>3</v>
      </c>
      <c r="K107" s="36" t="s">
        <v>430</v>
      </c>
    </row>
    <row r="108" spans="1:59" ht="45" x14ac:dyDescent="0.25">
      <c r="A108" s="29"/>
      <c r="B108" s="36">
        <v>103</v>
      </c>
      <c r="C108" s="36" t="s">
        <v>209</v>
      </c>
      <c r="D108" s="36" t="s">
        <v>110</v>
      </c>
      <c r="E108" s="36" t="s">
        <v>297</v>
      </c>
      <c r="F108" s="39">
        <v>1170</v>
      </c>
      <c r="G108" s="36" t="s">
        <v>230</v>
      </c>
      <c r="H108" s="36" t="s">
        <v>56</v>
      </c>
      <c r="I108" s="48" t="s">
        <v>24</v>
      </c>
      <c r="J108" s="46" t="s">
        <v>3</v>
      </c>
      <c r="K108" s="36" t="s">
        <v>270</v>
      </c>
    </row>
    <row r="109" spans="1:59" ht="45" x14ac:dyDescent="0.25">
      <c r="A109" s="29"/>
      <c r="B109" s="36">
        <v>104</v>
      </c>
      <c r="C109" s="36" t="s">
        <v>246</v>
      </c>
      <c r="D109" s="36" t="s">
        <v>232</v>
      </c>
      <c r="E109" s="36">
        <v>187.5</v>
      </c>
      <c r="F109" s="39">
        <v>187.5</v>
      </c>
      <c r="G109" s="36" t="s">
        <v>230</v>
      </c>
      <c r="H109" s="36" t="s">
        <v>56</v>
      </c>
      <c r="I109" s="48" t="s">
        <v>24</v>
      </c>
      <c r="J109" s="46" t="s">
        <v>3</v>
      </c>
      <c r="K109" s="36" t="s">
        <v>287</v>
      </c>
    </row>
    <row r="110" spans="1:59" ht="45" x14ac:dyDescent="0.25">
      <c r="A110" s="29"/>
      <c r="B110" s="36">
        <v>105</v>
      </c>
      <c r="C110" s="36" t="s">
        <v>247</v>
      </c>
      <c r="D110" s="36" t="s">
        <v>248</v>
      </c>
      <c r="E110" s="36">
        <f>104+78+54.6+78+78+104+78+78+104+78+78+8</f>
        <v>920.6</v>
      </c>
      <c r="F110" s="39">
        <v>1482</v>
      </c>
      <c r="G110" s="36" t="s">
        <v>230</v>
      </c>
      <c r="H110" s="36" t="s">
        <v>28</v>
      </c>
      <c r="I110" s="48" t="s">
        <v>24</v>
      </c>
      <c r="J110" s="51" t="s">
        <v>8</v>
      </c>
      <c r="K110" s="36" t="s">
        <v>288</v>
      </c>
    </row>
    <row r="111" spans="1:59" ht="45" x14ac:dyDescent="0.25">
      <c r="A111" s="29"/>
      <c r="B111" s="36">
        <v>106</v>
      </c>
      <c r="C111" s="36" t="s">
        <v>247</v>
      </c>
      <c r="D111" s="36" t="s">
        <v>249</v>
      </c>
      <c r="E111" s="36">
        <f>25+20+25+20</f>
        <v>90</v>
      </c>
      <c r="F111" s="39">
        <v>146</v>
      </c>
      <c r="G111" s="36" t="s">
        <v>230</v>
      </c>
      <c r="H111" s="36" t="s">
        <v>28</v>
      </c>
      <c r="I111" s="48" t="s">
        <v>24</v>
      </c>
      <c r="J111" s="51" t="s">
        <v>8</v>
      </c>
      <c r="K111" s="36" t="s">
        <v>289</v>
      </c>
    </row>
    <row r="112" spans="1:59" ht="45" x14ac:dyDescent="0.25">
      <c r="A112" s="29"/>
      <c r="B112" s="36">
        <v>107</v>
      </c>
      <c r="C112" s="36" t="s">
        <v>247</v>
      </c>
      <c r="D112" s="36" t="s">
        <v>250</v>
      </c>
      <c r="E112" s="36">
        <f>15+12+15 +12+15+15+15+12+15+12+15+15+12</f>
        <v>180</v>
      </c>
      <c r="F112" s="39">
        <v>252</v>
      </c>
      <c r="G112" s="36" t="s">
        <v>230</v>
      </c>
      <c r="H112" s="36" t="s">
        <v>28</v>
      </c>
      <c r="I112" s="48" t="s">
        <v>24</v>
      </c>
      <c r="J112" s="51" t="s">
        <v>8</v>
      </c>
      <c r="K112" s="36" t="s">
        <v>286</v>
      </c>
    </row>
    <row r="113" spans="1:59" ht="45" x14ac:dyDescent="0.25">
      <c r="A113" s="29"/>
      <c r="B113" s="36">
        <v>108</v>
      </c>
      <c r="C113" s="36" t="s">
        <v>256</v>
      </c>
      <c r="D113" s="36" t="s">
        <v>108</v>
      </c>
      <c r="E113" s="36">
        <f>611.33+162.85+93.56+251.46+58.41+60.89</f>
        <v>1238.5000000000002</v>
      </c>
      <c r="F113" s="39">
        <v>2000</v>
      </c>
      <c r="G113" s="36" t="s">
        <v>230</v>
      </c>
      <c r="H113" s="36" t="s">
        <v>28</v>
      </c>
      <c r="I113" s="48" t="s">
        <v>24</v>
      </c>
      <c r="J113" s="46" t="s">
        <v>3</v>
      </c>
      <c r="K113" s="36" t="s">
        <v>290</v>
      </c>
    </row>
    <row r="114" spans="1:59" ht="45" x14ac:dyDescent="0.25">
      <c r="A114" s="29"/>
      <c r="B114" s="36">
        <v>109</v>
      </c>
      <c r="C114" s="36" t="s">
        <v>257</v>
      </c>
      <c r="D114" s="36" t="s">
        <v>258</v>
      </c>
      <c r="E114" s="36">
        <f>3800+1188</f>
        <v>4988</v>
      </c>
      <c r="F114" s="39">
        <v>4988</v>
      </c>
      <c r="G114" s="36" t="s">
        <v>259</v>
      </c>
      <c r="H114" s="36" t="s">
        <v>56</v>
      </c>
      <c r="I114" s="48" t="s">
        <v>24</v>
      </c>
      <c r="J114" s="51" t="s">
        <v>8</v>
      </c>
      <c r="K114" s="36" t="s">
        <v>269</v>
      </c>
    </row>
    <row r="115" spans="1:59" ht="90" x14ac:dyDescent="0.25">
      <c r="A115" s="29"/>
      <c r="B115" s="36">
        <v>110</v>
      </c>
      <c r="C115" s="36" t="s">
        <v>260</v>
      </c>
      <c r="D115" s="36" t="s">
        <v>261</v>
      </c>
      <c r="E115" s="36" t="s">
        <v>449</v>
      </c>
      <c r="F115" s="39">
        <v>64000</v>
      </c>
      <c r="G115" s="36" t="s">
        <v>259</v>
      </c>
      <c r="H115" s="36" t="s">
        <v>56</v>
      </c>
      <c r="I115" s="48" t="s">
        <v>24</v>
      </c>
      <c r="J115" s="51" t="s">
        <v>112</v>
      </c>
      <c r="K115" s="36" t="s">
        <v>431</v>
      </c>
    </row>
    <row r="116" spans="1:59" s="9" customFormat="1" ht="45" x14ac:dyDescent="0.25">
      <c r="A116" s="31"/>
      <c r="B116" s="36">
        <v>111</v>
      </c>
      <c r="C116" s="36" t="s">
        <v>246</v>
      </c>
      <c r="D116" s="36" t="s">
        <v>232</v>
      </c>
      <c r="E116" s="36">
        <v>187.5</v>
      </c>
      <c r="F116" s="39">
        <v>187.5</v>
      </c>
      <c r="G116" s="36" t="s">
        <v>263</v>
      </c>
      <c r="H116" s="36" t="s">
        <v>56</v>
      </c>
      <c r="I116" s="48" t="s">
        <v>24</v>
      </c>
      <c r="J116" s="46" t="s">
        <v>3</v>
      </c>
      <c r="K116" s="36" t="s">
        <v>301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1:59" s="9" customFormat="1" ht="45" x14ac:dyDescent="0.25">
      <c r="A117" s="31"/>
      <c r="B117" s="36">
        <v>112</v>
      </c>
      <c r="C117" s="36" t="s">
        <v>262</v>
      </c>
      <c r="D117" s="36" t="s">
        <v>108</v>
      </c>
      <c r="E117" s="36">
        <f>138+285+329</f>
        <v>752</v>
      </c>
      <c r="F117" s="39">
        <v>2000</v>
      </c>
      <c r="G117" s="36" t="s">
        <v>263</v>
      </c>
      <c r="H117" s="36" t="s">
        <v>28</v>
      </c>
      <c r="I117" s="48" t="s">
        <v>24</v>
      </c>
      <c r="J117" s="46" t="s">
        <v>3</v>
      </c>
      <c r="K117" s="36" t="s">
        <v>432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1:59" s="9" customFormat="1" ht="45" x14ac:dyDescent="0.25">
      <c r="A118" s="31"/>
      <c r="B118" s="36">
        <v>113</v>
      </c>
      <c r="C118" s="36" t="s">
        <v>264</v>
      </c>
      <c r="D118" s="36" t="s">
        <v>232</v>
      </c>
      <c r="E118" s="36" t="s">
        <v>304</v>
      </c>
      <c r="F118" s="39">
        <v>1100</v>
      </c>
      <c r="G118" s="36" t="s">
        <v>263</v>
      </c>
      <c r="H118" s="36" t="s">
        <v>56</v>
      </c>
      <c r="I118" s="48" t="s">
        <v>24</v>
      </c>
      <c r="J118" s="46" t="s">
        <v>3</v>
      </c>
      <c r="K118" s="36" t="s">
        <v>302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1:59" ht="45" x14ac:dyDescent="0.25">
      <c r="A119" s="29"/>
      <c r="B119" s="36">
        <v>114</v>
      </c>
      <c r="C119" s="36" t="s">
        <v>265</v>
      </c>
      <c r="D119" s="36" t="s">
        <v>110</v>
      </c>
      <c r="E119" s="36" t="s">
        <v>441</v>
      </c>
      <c r="F119" s="39">
        <v>1800</v>
      </c>
      <c r="G119" s="36" t="s">
        <v>263</v>
      </c>
      <c r="H119" s="36" t="s">
        <v>56</v>
      </c>
      <c r="I119" s="48" t="s">
        <v>24</v>
      </c>
      <c r="J119" s="46" t="s">
        <v>3</v>
      </c>
      <c r="K119" s="36" t="s">
        <v>303</v>
      </c>
    </row>
    <row r="120" spans="1:59" s="9" customFormat="1" ht="45" x14ac:dyDescent="0.25">
      <c r="A120" s="31"/>
      <c r="B120" s="36">
        <v>115</v>
      </c>
      <c r="C120" s="36" t="s">
        <v>266</v>
      </c>
      <c r="D120" s="36" t="s">
        <v>108</v>
      </c>
      <c r="E120" s="36">
        <f>198.8 +376.9+170.75 +157+350.15+183.4+453.9</f>
        <v>1890.9</v>
      </c>
      <c r="F120" s="39">
        <v>2000</v>
      </c>
      <c r="G120" s="36" t="s">
        <v>263</v>
      </c>
      <c r="H120" s="36" t="s">
        <v>28</v>
      </c>
      <c r="I120" s="48" t="s">
        <v>24</v>
      </c>
      <c r="J120" s="46" t="s">
        <v>3</v>
      </c>
      <c r="K120" s="36" t="s">
        <v>433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1:59" s="9" customFormat="1" ht="45.75" x14ac:dyDescent="0.25">
      <c r="A121" s="31"/>
      <c r="B121" s="36">
        <v>116</v>
      </c>
      <c r="C121" s="36" t="s">
        <v>275</v>
      </c>
      <c r="D121" s="36" t="s">
        <v>276</v>
      </c>
      <c r="E121" s="36">
        <v>125</v>
      </c>
      <c r="F121" s="39">
        <v>125</v>
      </c>
      <c r="G121" s="36" t="s">
        <v>263</v>
      </c>
      <c r="H121" s="36" t="s">
        <v>56</v>
      </c>
      <c r="I121" s="48" t="s">
        <v>24</v>
      </c>
      <c r="J121" s="46" t="s">
        <v>6</v>
      </c>
      <c r="K121" s="36" t="s">
        <v>434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1:59" s="9" customFormat="1" ht="45" x14ac:dyDescent="0.25">
      <c r="A122" s="31"/>
      <c r="B122" s="36">
        <v>117</v>
      </c>
      <c r="C122" s="36" t="s">
        <v>277</v>
      </c>
      <c r="D122" s="36" t="s">
        <v>278</v>
      </c>
      <c r="E122" s="36" t="s">
        <v>443</v>
      </c>
      <c r="F122" s="39">
        <v>2825</v>
      </c>
      <c r="G122" s="36" t="s">
        <v>263</v>
      </c>
      <c r="H122" s="36" t="s">
        <v>56</v>
      </c>
      <c r="I122" s="48" t="s">
        <v>24</v>
      </c>
      <c r="J122" s="46" t="s">
        <v>3</v>
      </c>
      <c r="K122" s="36" t="s">
        <v>435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 s="9" customFormat="1" ht="45" x14ac:dyDescent="0.25">
      <c r="A123" s="31"/>
      <c r="B123" s="36">
        <v>118</v>
      </c>
      <c r="C123" s="36" t="s">
        <v>272</v>
      </c>
      <c r="D123" s="36" t="s">
        <v>110</v>
      </c>
      <c r="E123" s="36">
        <v>250</v>
      </c>
      <c r="F123" s="39">
        <v>250</v>
      </c>
      <c r="G123" s="36" t="s">
        <v>271</v>
      </c>
      <c r="H123" s="36" t="s">
        <v>56</v>
      </c>
      <c r="I123" s="48" t="s">
        <v>24</v>
      </c>
      <c r="J123" s="46" t="s">
        <v>3</v>
      </c>
      <c r="K123" s="36" t="s">
        <v>436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1:59" s="9" customFormat="1" ht="45" x14ac:dyDescent="0.25">
      <c r="A124" s="31"/>
      <c r="B124" s="36">
        <v>119</v>
      </c>
      <c r="C124" s="36" t="s">
        <v>273</v>
      </c>
      <c r="D124" s="36" t="s">
        <v>232</v>
      </c>
      <c r="E124" s="36">
        <v>150</v>
      </c>
      <c r="F124" s="39">
        <v>150</v>
      </c>
      <c r="G124" s="36" t="s">
        <v>271</v>
      </c>
      <c r="H124" s="36" t="s">
        <v>56</v>
      </c>
      <c r="I124" s="48" t="s">
        <v>24</v>
      </c>
      <c r="J124" s="46" t="s">
        <v>3</v>
      </c>
      <c r="K124" s="36" t="s">
        <v>437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1:59" s="8" customFormat="1" ht="45" x14ac:dyDescent="0.25">
      <c r="A125" s="33"/>
      <c r="B125" s="36">
        <v>120</v>
      </c>
      <c r="C125" s="36" t="s">
        <v>274</v>
      </c>
      <c r="D125" s="36" t="s">
        <v>108</v>
      </c>
      <c r="E125" s="36">
        <v>50</v>
      </c>
      <c r="F125" s="39">
        <v>50</v>
      </c>
      <c r="G125" s="36" t="s">
        <v>271</v>
      </c>
      <c r="H125" s="36" t="s">
        <v>56</v>
      </c>
      <c r="I125" s="48" t="s">
        <v>24</v>
      </c>
      <c r="J125" s="46" t="s">
        <v>3</v>
      </c>
      <c r="K125" s="36" t="s">
        <v>438</v>
      </c>
    </row>
    <row r="126" spans="1:59" s="9" customFormat="1" ht="45.75" x14ac:dyDescent="0.25">
      <c r="A126" s="31"/>
      <c r="B126" s="36">
        <v>121</v>
      </c>
      <c r="C126" s="36" t="s">
        <v>313</v>
      </c>
      <c r="D126" s="36" t="s">
        <v>314</v>
      </c>
      <c r="E126" s="36">
        <f>400*10</f>
        <v>4000</v>
      </c>
      <c r="F126" s="39">
        <v>4000</v>
      </c>
      <c r="G126" s="36" t="s">
        <v>367</v>
      </c>
      <c r="H126" s="36" t="s">
        <v>56</v>
      </c>
      <c r="I126" s="48" t="s">
        <v>24</v>
      </c>
      <c r="J126" s="46" t="s">
        <v>6</v>
      </c>
      <c r="K126" s="36" t="s">
        <v>368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 s="9" customFormat="1" ht="45" x14ac:dyDescent="0.25">
      <c r="A127" s="31"/>
      <c r="B127" s="36">
        <v>122</v>
      </c>
      <c r="C127" s="36" t="s">
        <v>315</v>
      </c>
      <c r="D127" s="36" t="s">
        <v>108</v>
      </c>
      <c r="E127" s="36">
        <v>385</v>
      </c>
      <c r="F127" s="39">
        <v>550</v>
      </c>
      <c r="G127" s="36" t="s">
        <v>367</v>
      </c>
      <c r="H127" s="36" t="s">
        <v>56</v>
      </c>
      <c r="I127" s="48" t="s">
        <v>24</v>
      </c>
      <c r="J127" s="46" t="s">
        <v>3</v>
      </c>
      <c r="K127" s="36" t="s">
        <v>369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1:59" s="9" customFormat="1" ht="45" x14ac:dyDescent="0.25">
      <c r="A128" s="31"/>
      <c r="B128" s="36">
        <v>123</v>
      </c>
      <c r="C128" s="36" t="s">
        <v>316</v>
      </c>
      <c r="D128" s="36" t="s">
        <v>108</v>
      </c>
      <c r="E128" s="36">
        <v>433</v>
      </c>
      <c r="F128" s="39">
        <v>550</v>
      </c>
      <c r="G128" s="36" t="s">
        <v>367</v>
      </c>
      <c r="H128" s="36" t="s">
        <v>56</v>
      </c>
      <c r="I128" s="36" t="s">
        <v>24</v>
      </c>
      <c r="J128" s="46" t="s">
        <v>3</v>
      </c>
      <c r="K128" s="36" t="s">
        <v>370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1:59" s="9" customFormat="1" ht="45" x14ac:dyDescent="0.25">
      <c r="A129" s="31"/>
      <c r="B129" s="36">
        <v>124</v>
      </c>
      <c r="C129" s="36" t="s">
        <v>264</v>
      </c>
      <c r="D129" s="36" t="s">
        <v>232</v>
      </c>
      <c r="E129" s="36" t="s">
        <v>439</v>
      </c>
      <c r="F129" s="39">
        <v>1137.5</v>
      </c>
      <c r="G129" s="36" t="s">
        <v>367</v>
      </c>
      <c r="H129" s="36" t="s">
        <v>56</v>
      </c>
      <c r="I129" s="36" t="s">
        <v>24</v>
      </c>
      <c r="J129" s="46" t="s">
        <v>3</v>
      </c>
      <c r="K129" s="36" t="s">
        <v>371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1:59" s="9" customFormat="1" ht="45" x14ac:dyDescent="0.25">
      <c r="A130" s="31"/>
      <c r="B130" s="36">
        <v>125</v>
      </c>
      <c r="C130" s="36" t="s">
        <v>317</v>
      </c>
      <c r="D130" s="36" t="s">
        <v>5</v>
      </c>
      <c r="E130" s="36" t="s">
        <v>453</v>
      </c>
      <c r="F130" s="39">
        <v>3076.59</v>
      </c>
      <c r="G130" s="36" t="s">
        <v>367</v>
      </c>
      <c r="H130" s="36" t="s">
        <v>56</v>
      </c>
      <c r="I130" s="36" t="s">
        <v>24</v>
      </c>
      <c r="J130" s="46" t="s">
        <v>3</v>
      </c>
      <c r="K130" s="36" t="s">
        <v>372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1:59" s="9" customFormat="1" ht="45" x14ac:dyDescent="0.25">
      <c r="A131" s="31"/>
      <c r="B131" s="36">
        <v>126</v>
      </c>
      <c r="C131" s="36" t="s">
        <v>317</v>
      </c>
      <c r="D131" s="36" t="s">
        <v>108</v>
      </c>
      <c r="E131" s="36">
        <v>500</v>
      </c>
      <c r="F131" s="39">
        <v>550</v>
      </c>
      <c r="G131" s="36" t="s">
        <v>367</v>
      </c>
      <c r="H131" s="36" t="s">
        <v>56</v>
      </c>
      <c r="I131" s="36" t="s">
        <v>24</v>
      </c>
      <c r="J131" s="46" t="s">
        <v>3</v>
      </c>
      <c r="K131" s="36" t="s">
        <v>373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1:59" s="9" customFormat="1" ht="45" x14ac:dyDescent="0.25">
      <c r="A132" s="31"/>
      <c r="B132" s="36">
        <v>127</v>
      </c>
      <c r="C132" s="36" t="s">
        <v>209</v>
      </c>
      <c r="D132" s="36" t="s">
        <v>110</v>
      </c>
      <c r="E132" s="36" t="s">
        <v>444</v>
      </c>
      <c r="F132" s="39">
        <v>1550</v>
      </c>
      <c r="G132" s="36" t="s">
        <v>367</v>
      </c>
      <c r="H132" s="36" t="s">
        <v>56</v>
      </c>
      <c r="I132" s="36" t="s">
        <v>24</v>
      </c>
      <c r="J132" s="46" t="s">
        <v>3</v>
      </c>
      <c r="K132" s="36" t="s">
        <v>374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1:59" s="9" customFormat="1" ht="45" x14ac:dyDescent="0.25">
      <c r="A133" s="31"/>
      <c r="B133" s="36">
        <v>128</v>
      </c>
      <c r="C133" s="36" t="s">
        <v>317</v>
      </c>
      <c r="D133" s="36" t="s">
        <v>108</v>
      </c>
      <c r="E133" s="36" t="s">
        <v>452</v>
      </c>
      <c r="F133" s="39">
        <v>15180</v>
      </c>
      <c r="G133" s="36" t="s">
        <v>367</v>
      </c>
      <c r="H133" s="36" t="s">
        <v>56</v>
      </c>
      <c r="I133" s="36" t="s">
        <v>24</v>
      </c>
      <c r="J133" s="46" t="s">
        <v>3</v>
      </c>
      <c r="K133" s="36" t="s">
        <v>375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1:59" ht="45" x14ac:dyDescent="0.25">
      <c r="A134" s="29"/>
      <c r="B134" s="36">
        <v>129</v>
      </c>
      <c r="C134" s="36" t="s">
        <v>317</v>
      </c>
      <c r="D134" s="36" t="s">
        <v>93</v>
      </c>
      <c r="E134" s="36">
        <v>380</v>
      </c>
      <c r="F134" s="39">
        <v>380</v>
      </c>
      <c r="G134" s="36" t="s">
        <v>367</v>
      </c>
      <c r="H134" s="36" t="s">
        <v>56</v>
      </c>
      <c r="I134" s="36" t="s">
        <v>24</v>
      </c>
      <c r="J134" s="46" t="s">
        <v>3</v>
      </c>
      <c r="K134" s="36" t="s">
        <v>376</v>
      </c>
    </row>
    <row r="135" spans="1:59" s="9" customFormat="1" ht="45" x14ac:dyDescent="0.25">
      <c r="A135" s="31"/>
      <c r="B135" s="36">
        <v>130</v>
      </c>
      <c r="C135" s="36" t="s">
        <v>318</v>
      </c>
      <c r="D135" s="36" t="s">
        <v>278</v>
      </c>
      <c r="E135" s="36" t="s">
        <v>422</v>
      </c>
      <c r="F135" s="39">
        <v>5298</v>
      </c>
      <c r="G135" s="36" t="s">
        <v>367</v>
      </c>
      <c r="H135" s="36" t="s">
        <v>56</v>
      </c>
      <c r="I135" s="36" t="s">
        <v>24</v>
      </c>
      <c r="J135" s="46" t="s">
        <v>3</v>
      </c>
      <c r="K135" s="36" t="s">
        <v>377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1:59" ht="45" x14ac:dyDescent="0.25">
      <c r="A136" s="29"/>
      <c r="B136" s="36">
        <v>131</v>
      </c>
      <c r="C136" s="36" t="s">
        <v>319</v>
      </c>
      <c r="D136" s="36" t="s">
        <v>108</v>
      </c>
      <c r="E136" s="36">
        <v>400</v>
      </c>
      <c r="F136" s="39">
        <v>400</v>
      </c>
      <c r="G136" s="36" t="s">
        <v>367</v>
      </c>
      <c r="H136" s="36" t="s">
        <v>56</v>
      </c>
      <c r="I136" s="36" t="s">
        <v>24</v>
      </c>
      <c r="J136" s="46" t="s">
        <v>3</v>
      </c>
      <c r="K136" s="36" t="s">
        <v>378</v>
      </c>
    </row>
    <row r="137" spans="1:59" ht="45" x14ac:dyDescent="0.25">
      <c r="A137" s="29"/>
      <c r="B137" s="36">
        <v>132</v>
      </c>
      <c r="C137" s="52" t="s">
        <v>320</v>
      </c>
      <c r="D137" s="36" t="s">
        <v>108</v>
      </c>
      <c r="E137" s="36">
        <v>400</v>
      </c>
      <c r="F137" s="39">
        <v>400</v>
      </c>
      <c r="G137" s="36" t="s">
        <v>367</v>
      </c>
      <c r="H137" s="36" t="s">
        <v>56</v>
      </c>
      <c r="I137" s="36" t="s">
        <v>24</v>
      </c>
      <c r="J137" s="46" t="s">
        <v>3</v>
      </c>
      <c r="K137" s="36" t="s">
        <v>379</v>
      </c>
    </row>
    <row r="138" spans="1:59" ht="45" x14ac:dyDescent="0.25">
      <c r="A138" s="29"/>
      <c r="B138" s="36">
        <v>133</v>
      </c>
      <c r="C138" s="36" t="s">
        <v>321</v>
      </c>
      <c r="D138" s="36" t="s">
        <v>108</v>
      </c>
      <c r="E138" s="36">
        <v>479.6</v>
      </c>
      <c r="F138" s="39">
        <v>480</v>
      </c>
      <c r="G138" s="36" t="s">
        <v>367</v>
      </c>
      <c r="H138" s="36" t="s">
        <v>56</v>
      </c>
      <c r="I138" s="36" t="s">
        <v>24</v>
      </c>
      <c r="J138" s="46" t="s">
        <v>3</v>
      </c>
      <c r="K138" s="36" t="s">
        <v>380</v>
      </c>
    </row>
    <row r="139" spans="1:59" ht="45" x14ac:dyDescent="0.25">
      <c r="A139" s="29"/>
      <c r="B139" s="36">
        <v>134</v>
      </c>
      <c r="C139" s="36" t="s">
        <v>322</v>
      </c>
      <c r="D139" s="36" t="s">
        <v>108</v>
      </c>
      <c r="E139" s="36">
        <f>386.05+314.64+247.36+330.17+47.61+279.45+57.5+89.01+43.5+394.34+48.13+458.5+90.56+398.48+49.68</f>
        <v>3234.98</v>
      </c>
      <c r="F139" s="39">
        <v>3300</v>
      </c>
      <c r="G139" s="36" t="s">
        <v>367</v>
      </c>
      <c r="H139" s="36" t="s">
        <v>28</v>
      </c>
      <c r="I139" s="36" t="s">
        <v>24</v>
      </c>
      <c r="J139" s="46" t="s">
        <v>3</v>
      </c>
      <c r="K139" s="36" t="s">
        <v>381</v>
      </c>
    </row>
    <row r="140" spans="1:59" ht="45" x14ac:dyDescent="0.25">
      <c r="A140" s="29"/>
      <c r="B140" s="36">
        <v>135</v>
      </c>
      <c r="C140" s="36" t="s">
        <v>323</v>
      </c>
      <c r="D140" s="36" t="s">
        <v>232</v>
      </c>
      <c r="E140" s="36" t="s">
        <v>447</v>
      </c>
      <c r="F140" s="39">
        <v>2525</v>
      </c>
      <c r="G140" s="36" t="s">
        <v>367</v>
      </c>
      <c r="H140" s="36" t="s">
        <v>56</v>
      </c>
      <c r="I140" s="36" t="s">
        <v>24</v>
      </c>
      <c r="J140" s="46" t="s">
        <v>3</v>
      </c>
      <c r="K140" s="36" t="s">
        <v>382</v>
      </c>
    </row>
    <row r="141" spans="1:59" ht="45" x14ac:dyDescent="0.25">
      <c r="A141" s="29"/>
      <c r="B141" s="36">
        <v>136</v>
      </c>
      <c r="C141" s="36" t="s">
        <v>265</v>
      </c>
      <c r="D141" s="36" t="s">
        <v>110</v>
      </c>
      <c r="E141" s="36" t="s">
        <v>464</v>
      </c>
      <c r="F141" s="39">
        <v>5465</v>
      </c>
      <c r="G141" s="36" t="s">
        <v>367</v>
      </c>
      <c r="H141" s="36" t="s">
        <v>56</v>
      </c>
      <c r="I141" s="36" t="s">
        <v>24</v>
      </c>
      <c r="J141" s="46" t="s">
        <v>3</v>
      </c>
      <c r="K141" s="36" t="s">
        <v>383</v>
      </c>
    </row>
    <row r="142" spans="1:59" ht="22.5" x14ac:dyDescent="0.25">
      <c r="A142" s="29"/>
      <c r="B142" s="36">
        <v>137</v>
      </c>
      <c r="C142" s="36" t="s">
        <v>324</v>
      </c>
      <c r="D142" s="36" t="s">
        <v>325</v>
      </c>
      <c r="E142" s="36">
        <f>210+224+38+70+20</f>
        <v>562</v>
      </c>
      <c r="F142" s="39">
        <v>910</v>
      </c>
      <c r="G142" s="36" t="s">
        <v>384</v>
      </c>
      <c r="H142" s="36" t="s">
        <v>28</v>
      </c>
      <c r="I142" s="36" t="s">
        <v>9</v>
      </c>
      <c r="J142" s="46" t="s">
        <v>385</v>
      </c>
      <c r="K142" s="36"/>
    </row>
    <row r="143" spans="1:59" ht="45" x14ac:dyDescent="0.25">
      <c r="A143" s="29"/>
      <c r="B143" s="36">
        <v>138</v>
      </c>
      <c r="C143" s="36" t="s">
        <v>277</v>
      </c>
      <c r="D143" s="36" t="s">
        <v>278</v>
      </c>
      <c r="E143" s="36">
        <v>780</v>
      </c>
      <c r="F143" s="39">
        <v>780</v>
      </c>
      <c r="G143" s="36" t="s">
        <v>384</v>
      </c>
      <c r="H143" s="36" t="s">
        <v>56</v>
      </c>
      <c r="I143" s="36" t="s">
        <v>24</v>
      </c>
      <c r="J143" s="46" t="s">
        <v>3</v>
      </c>
      <c r="K143" s="36" t="s">
        <v>386</v>
      </c>
    </row>
    <row r="144" spans="1:59" ht="45" customHeight="1" x14ac:dyDescent="0.25">
      <c r="A144" s="29"/>
      <c r="B144" s="36">
        <v>139</v>
      </c>
      <c r="C144" s="36" t="s">
        <v>109</v>
      </c>
      <c r="D144" s="36" t="s">
        <v>110</v>
      </c>
      <c r="E144" s="36" t="s">
        <v>455</v>
      </c>
      <c r="F144" s="39">
        <v>3400</v>
      </c>
      <c r="G144" s="36" t="s">
        <v>387</v>
      </c>
      <c r="H144" s="36" t="s">
        <v>56</v>
      </c>
      <c r="I144" s="36" t="s">
        <v>24</v>
      </c>
      <c r="J144" s="46" t="s">
        <v>3</v>
      </c>
      <c r="K144" s="36" t="s">
        <v>388</v>
      </c>
    </row>
    <row r="145" spans="1:59" s="9" customFormat="1" ht="45" x14ac:dyDescent="0.25">
      <c r="A145" s="31"/>
      <c r="B145" s="36">
        <v>140</v>
      </c>
      <c r="C145" s="36" t="s">
        <v>109</v>
      </c>
      <c r="D145" s="36" t="s">
        <v>232</v>
      </c>
      <c r="E145" s="36" t="s">
        <v>454</v>
      </c>
      <c r="F145" s="39">
        <v>2000</v>
      </c>
      <c r="G145" s="36" t="s">
        <v>387</v>
      </c>
      <c r="H145" s="36" t="s">
        <v>56</v>
      </c>
      <c r="I145" s="36" t="s">
        <v>24</v>
      </c>
      <c r="J145" s="46" t="s">
        <v>3</v>
      </c>
      <c r="K145" s="36" t="s">
        <v>389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59" ht="45" x14ac:dyDescent="0.25">
      <c r="A146" s="29"/>
      <c r="B146" s="36">
        <v>141</v>
      </c>
      <c r="C146" s="36" t="s">
        <v>132</v>
      </c>
      <c r="D146" s="36" t="s">
        <v>5</v>
      </c>
      <c r="E146" s="36">
        <v>250</v>
      </c>
      <c r="F146" s="39">
        <v>250</v>
      </c>
      <c r="G146" s="36" t="s">
        <v>387</v>
      </c>
      <c r="H146" s="36" t="s">
        <v>56</v>
      </c>
      <c r="I146" s="36" t="s">
        <v>24</v>
      </c>
      <c r="J146" s="46" t="s">
        <v>3</v>
      </c>
      <c r="K146" s="36" t="s">
        <v>390</v>
      </c>
    </row>
    <row r="147" spans="1:59" ht="45" x14ac:dyDescent="0.25">
      <c r="A147" s="29"/>
      <c r="B147" s="36">
        <v>142</v>
      </c>
      <c r="C147" s="36" t="s">
        <v>326</v>
      </c>
      <c r="D147" s="36" t="s">
        <v>108</v>
      </c>
      <c r="E147" s="36">
        <v>55.4</v>
      </c>
      <c r="F147" s="39">
        <v>60</v>
      </c>
      <c r="G147" s="36" t="s">
        <v>387</v>
      </c>
      <c r="H147" s="36" t="s">
        <v>56</v>
      </c>
      <c r="I147" s="36" t="s">
        <v>24</v>
      </c>
      <c r="J147" s="46" t="s">
        <v>3</v>
      </c>
      <c r="K147" s="36" t="s">
        <v>391</v>
      </c>
    </row>
    <row r="148" spans="1:59" ht="45" x14ac:dyDescent="0.25">
      <c r="A148" s="29"/>
      <c r="B148" s="36">
        <v>143</v>
      </c>
      <c r="C148" s="36" t="s">
        <v>327</v>
      </c>
      <c r="D148" s="36" t="s">
        <v>108</v>
      </c>
      <c r="E148" s="36">
        <f>400+480+500+480+369.6+35.2+468+48.4+50+1100+50+495+495</f>
        <v>4971.2</v>
      </c>
      <c r="F148" s="39">
        <v>5000</v>
      </c>
      <c r="G148" s="36" t="s">
        <v>387</v>
      </c>
      <c r="H148" s="36" t="s">
        <v>28</v>
      </c>
      <c r="I148" s="36" t="s">
        <v>24</v>
      </c>
      <c r="J148" s="46" t="s">
        <v>3</v>
      </c>
      <c r="K148" s="36" t="s">
        <v>392</v>
      </c>
    </row>
    <row r="149" spans="1:59" ht="45" x14ac:dyDescent="0.25">
      <c r="A149" s="29"/>
      <c r="B149" s="36">
        <v>144</v>
      </c>
      <c r="C149" s="36" t="s">
        <v>124</v>
      </c>
      <c r="D149" s="36" t="s">
        <v>108</v>
      </c>
      <c r="E149" s="36">
        <v>60</v>
      </c>
      <c r="F149" s="39">
        <v>3000</v>
      </c>
      <c r="G149" s="36" t="s">
        <v>387</v>
      </c>
      <c r="H149" s="36" t="s">
        <v>28</v>
      </c>
      <c r="I149" s="36" t="s">
        <v>24</v>
      </c>
      <c r="J149" s="46" t="s">
        <v>3</v>
      </c>
      <c r="K149" s="36" t="s">
        <v>581</v>
      </c>
    </row>
    <row r="150" spans="1:59" ht="45" x14ac:dyDescent="0.25">
      <c r="A150" s="29"/>
      <c r="B150" s="36">
        <v>145</v>
      </c>
      <c r="C150" s="36" t="s">
        <v>328</v>
      </c>
      <c r="D150" s="36" t="s">
        <v>108</v>
      </c>
      <c r="E150" s="36">
        <f>50+420+384+400+446+500+420+700+450+800+100+180+60+60</f>
        <v>4970</v>
      </c>
      <c r="F150" s="39">
        <v>5000</v>
      </c>
      <c r="G150" s="36" t="s">
        <v>387</v>
      </c>
      <c r="H150" s="36" t="s">
        <v>56</v>
      </c>
      <c r="I150" s="36" t="s">
        <v>24</v>
      </c>
      <c r="J150" s="46" t="s">
        <v>3</v>
      </c>
      <c r="K150" s="36" t="s">
        <v>393</v>
      </c>
    </row>
    <row r="151" spans="1:59" ht="45" x14ac:dyDescent="0.25">
      <c r="A151" s="29"/>
      <c r="B151" s="36">
        <v>146</v>
      </c>
      <c r="C151" s="36" t="s">
        <v>126</v>
      </c>
      <c r="D151" s="36" t="s">
        <v>108</v>
      </c>
      <c r="E151" s="36">
        <v>240</v>
      </c>
      <c r="F151" s="39">
        <v>480</v>
      </c>
      <c r="G151" s="36" t="s">
        <v>387</v>
      </c>
      <c r="H151" s="36" t="s">
        <v>56</v>
      </c>
      <c r="I151" s="36" t="s">
        <v>24</v>
      </c>
      <c r="J151" s="46" t="s">
        <v>3</v>
      </c>
      <c r="K151" s="36" t="s">
        <v>1570</v>
      </c>
    </row>
    <row r="152" spans="1:59" s="9" customFormat="1" ht="45" x14ac:dyDescent="0.25">
      <c r="A152" s="31"/>
      <c r="B152" s="36">
        <v>147</v>
      </c>
      <c r="C152" s="36" t="s">
        <v>126</v>
      </c>
      <c r="D152" s="36" t="s">
        <v>5</v>
      </c>
      <c r="E152" s="36" t="s">
        <v>2167</v>
      </c>
      <c r="F152" s="39">
        <v>1085</v>
      </c>
      <c r="G152" s="36" t="s">
        <v>387</v>
      </c>
      <c r="H152" s="36" t="s">
        <v>56</v>
      </c>
      <c r="I152" s="36" t="s">
        <v>24</v>
      </c>
      <c r="J152" s="46" t="s">
        <v>3</v>
      </c>
      <c r="K152" s="36" t="s">
        <v>1571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59" ht="45" x14ac:dyDescent="0.25">
      <c r="A153" s="29"/>
      <c r="B153" s="36">
        <v>149</v>
      </c>
      <c r="C153" s="36" t="s">
        <v>329</v>
      </c>
      <c r="D153" s="36" t="s">
        <v>108</v>
      </c>
      <c r="E153" s="36">
        <f>60+190+420+230+50+250+50+58+85+105</f>
        <v>1498</v>
      </c>
      <c r="F153" s="39">
        <v>2000</v>
      </c>
      <c r="G153" s="36" t="s">
        <v>394</v>
      </c>
      <c r="H153" s="36" t="s">
        <v>28</v>
      </c>
      <c r="I153" s="36" t="s">
        <v>24</v>
      </c>
      <c r="J153" s="46" t="s">
        <v>3</v>
      </c>
      <c r="K153" s="36" t="s">
        <v>460</v>
      </c>
    </row>
    <row r="154" spans="1:59" ht="45" x14ac:dyDescent="0.2">
      <c r="A154" s="29"/>
      <c r="B154" s="36">
        <v>150</v>
      </c>
      <c r="C154" s="36" t="s">
        <v>315</v>
      </c>
      <c r="D154" s="36" t="s">
        <v>108</v>
      </c>
      <c r="E154" s="36">
        <v>70</v>
      </c>
      <c r="F154" s="39">
        <v>200</v>
      </c>
      <c r="G154" s="36" t="s">
        <v>394</v>
      </c>
      <c r="H154" s="36" t="s">
        <v>56</v>
      </c>
      <c r="I154" s="36" t="s">
        <v>24</v>
      </c>
      <c r="J154" s="46" t="s">
        <v>3</v>
      </c>
      <c r="K154" s="54" t="s">
        <v>461</v>
      </c>
    </row>
    <row r="155" spans="1:59" ht="45" x14ac:dyDescent="0.25">
      <c r="A155" s="29"/>
      <c r="B155" s="36">
        <v>151</v>
      </c>
      <c r="C155" s="36" t="s">
        <v>330</v>
      </c>
      <c r="D155" s="36" t="s">
        <v>232</v>
      </c>
      <c r="E155" s="36" t="s">
        <v>463</v>
      </c>
      <c r="F155" s="39">
        <v>1680</v>
      </c>
      <c r="G155" s="36" t="s">
        <v>394</v>
      </c>
      <c r="H155" s="36" t="s">
        <v>56</v>
      </c>
      <c r="I155" s="36" t="s">
        <v>24</v>
      </c>
      <c r="J155" s="46" t="s">
        <v>3</v>
      </c>
      <c r="K155" s="36" t="s">
        <v>462</v>
      </c>
    </row>
    <row r="156" spans="1:59" s="9" customFormat="1" ht="45" x14ac:dyDescent="0.25">
      <c r="A156" s="31"/>
      <c r="B156" s="36">
        <v>152</v>
      </c>
      <c r="C156" s="36" t="s">
        <v>330</v>
      </c>
      <c r="D156" s="36" t="s">
        <v>110</v>
      </c>
      <c r="E156" s="36" t="s">
        <v>459</v>
      </c>
      <c r="F156" s="39">
        <v>1680</v>
      </c>
      <c r="G156" s="36" t="s">
        <v>394</v>
      </c>
      <c r="H156" s="36" t="s">
        <v>56</v>
      </c>
      <c r="I156" s="36" t="s">
        <v>24</v>
      </c>
      <c r="J156" s="46" t="s">
        <v>3</v>
      </c>
      <c r="K156" s="36" t="s">
        <v>456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59" s="9" customFormat="1" ht="45" x14ac:dyDescent="0.25">
      <c r="A157" s="31"/>
      <c r="B157" s="36">
        <v>153</v>
      </c>
      <c r="C157" s="36" t="s">
        <v>331</v>
      </c>
      <c r="D157" s="36" t="s">
        <v>5</v>
      </c>
      <c r="E157" s="36">
        <v>455.48</v>
      </c>
      <c r="F157" s="39">
        <v>455.48</v>
      </c>
      <c r="G157" s="36" t="s">
        <v>394</v>
      </c>
      <c r="H157" s="36" t="s">
        <v>56</v>
      </c>
      <c r="I157" s="36" t="s">
        <v>24</v>
      </c>
      <c r="J157" s="46" t="s">
        <v>3</v>
      </c>
      <c r="K157" s="36" t="s">
        <v>457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59" s="9" customFormat="1" ht="45" x14ac:dyDescent="0.25">
      <c r="A158" s="31"/>
      <c r="B158" s="36">
        <v>154</v>
      </c>
      <c r="C158" s="36" t="s">
        <v>122</v>
      </c>
      <c r="D158" s="36" t="s">
        <v>108</v>
      </c>
      <c r="E158" s="36">
        <f>83.78+442.5+198.24+469.64+785.88+423.62+210.63+580.56+178.77+396.48+529.23+883.23 +982.94+165.2+119.18+177+57.23+149.27+258.42+248.98+428.34</f>
        <v>7769.12</v>
      </c>
      <c r="F158" s="39">
        <v>15000</v>
      </c>
      <c r="G158" s="36" t="s">
        <v>394</v>
      </c>
      <c r="H158" s="36" t="s">
        <v>28</v>
      </c>
      <c r="I158" s="36" t="s">
        <v>24</v>
      </c>
      <c r="J158" s="46" t="s">
        <v>3</v>
      </c>
      <c r="K158" s="36" t="s">
        <v>458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59" s="9" customFormat="1" ht="45.75" x14ac:dyDescent="0.25">
      <c r="A159" s="31"/>
      <c r="B159" s="36">
        <v>155</v>
      </c>
      <c r="C159" s="36" t="s">
        <v>332</v>
      </c>
      <c r="D159" s="36" t="s">
        <v>333</v>
      </c>
      <c r="E159" s="36">
        <v>70</v>
      </c>
      <c r="F159" s="39">
        <v>70</v>
      </c>
      <c r="G159" s="36" t="s">
        <v>394</v>
      </c>
      <c r="H159" s="36" t="s">
        <v>56</v>
      </c>
      <c r="I159" s="36" t="s">
        <v>24</v>
      </c>
      <c r="J159" s="46" t="s">
        <v>6</v>
      </c>
      <c r="K159" s="36" t="s">
        <v>395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59" ht="45.75" x14ac:dyDescent="0.25">
      <c r="A160" s="29"/>
      <c r="B160" s="36">
        <v>156</v>
      </c>
      <c r="C160" s="36" t="s">
        <v>334</v>
      </c>
      <c r="D160" s="36" t="s">
        <v>335</v>
      </c>
      <c r="E160" s="36" t="s">
        <v>442</v>
      </c>
      <c r="F160" s="39">
        <v>2304</v>
      </c>
      <c r="G160" s="36" t="s">
        <v>394</v>
      </c>
      <c r="H160" s="36" t="s">
        <v>396</v>
      </c>
      <c r="I160" s="36" t="s">
        <v>24</v>
      </c>
      <c r="J160" s="46" t="s">
        <v>6</v>
      </c>
      <c r="K160" s="36" t="s">
        <v>397</v>
      </c>
    </row>
    <row r="161" spans="1:59" ht="45" x14ac:dyDescent="0.25">
      <c r="A161" s="29"/>
      <c r="B161" s="36">
        <v>157</v>
      </c>
      <c r="C161" s="36" t="s">
        <v>336</v>
      </c>
      <c r="D161" s="36" t="s">
        <v>5</v>
      </c>
      <c r="E161" s="36" t="s">
        <v>728</v>
      </c>
      <c r="F161" s="39">
        <v>1248</v>
      </c>
      <c r="G161" s="36" t="s">
        <v>394</v>
      </c>
      <c r="H161" s="36" t="s">
        <v>56</v>
      </c>
      <c r="I161" s="36" t="s">
        <v>24</v>
      </c>
      <c r="J161" s="46" t="s">
        <v>3</v>
      </c>
      <c r="K161" s="36" t="s">
        <v>727</v>
      </c>
    </row>
    <row r="162" spans="1:59" s="3" customFormat="1" ht="90" x14ac:dyDescent="0.25">
      <c r="A162" s="30"/>
      <c r="B162" s="36">
        <v>158</v>
      </c>
      <c r="C162" s="36" t="s">
        <v>337</v>
      </c>
      <c r="D162" s="36" t="s">
        <v>338</v>
      </c>
      <c r="E162" s="36" t="s">
        <v>440</v>
      </c>
      <c r="F162" s="39" t="s">
        <v>440</v>
      </c>
      <c r="G162" s="36" t="s">
        <v>394</v>
      </c>
      <c r="H162" s="36" t="s">
        <v>56</v>
      </c>
      <c r="I162" s="36" t="s">
        <v>24</v>
      </c>
      <c r="J162" s="51" t="s">
        <v>398</v>
      </c>
      <c r="K162" s="36" t="s">
        <v>399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59" s="9" customFormat="1" ht="90" x14ac:dyDescent="0.25">
      <c r="A163" s="31"/>
      <c r="B163" s="36">
        <v>159</v>
      </c>
      <c r="C163" s="36" t="s">
        <v>339</v>
      </c>
      <c r="D163" s="36" t="s">
        <v>340</v>
      </c>
      <c r="E163" s="36">
        <f>400*11</f>
        <v>4400</v>
      </c>
      <c r="F163" s="39">
        <v>4400</v>
      </c>
      <c r="G163" s="36" t="s">
        <v>394</v>
      </c>
      <c r="H163" s="36" t="s">
        <v>28</v>
      </c>
      <c r="I163" s="36" t="s">
        <v>24</v>
      </c>
      <c r="J163" s="51" t="s">
        <v>398</v>
      </c>
      <c r="K163" s="36" t="s">
        <v>400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59" s="9" customFormat="1" ht="90" x14ac:dyDescent="0.25">
      <c r="A164" s="31"/>
      <c r="B164" s="36">
        <v>160</v>
      </c>
      <c r="C164" s="36" t="s">
        <v>341</v>
      </c>
      <c r="D164" s="36" t="s">
        <v>342</v>
      </c>
      <c r="E164" s="36">
        <f>353.57+450*10</f>
        <v>4853.57</v>
      </c>
      <c r="F164" s="39">
        <v>4853.57</v>
      </c>
      <c r="G164" s="36" t="s">
        <v>394</v>
      </c>
      <c r="H164" s="36" t="s">
        <v>28</v>
      </c>
      <c r="I164" s="36" t="s">
        <v>24</v>
      </c>
      <c r="J164" s="51" t="s">
        <v>398</v>
      </c>
      <c r="K164" s="36" t="s">
        <v>401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1:59" s="9" customFormat="1" ht="90" x14ac:dyDescent="0.25">
      <c r="A165" s="31"/>
      <c r="B165" s="36">
        <v>161</v>
      </c>
      <c r="C165" s="36" t="s">
        <v>343</v>
      </c>
      <c r="D165" s="36" t="s">
        <v>344</v>
      </c>
      <c r="E165" s="36">
        <f>455*11</f>
        <v>5005</v>
      </c>
      <c r="F165" s="39">
        <v>5005</v>
      </c>
      <c r="G165" s="36" t="s">
        <v>394</v>
      </c>
      <c r="H165" s="36" t="s">
        <v>28</v>
      </c>
      <c r="I165" s="36" t="s">
        <v>24</v>
      </c>
      <c r="J165" s="51" t="s">
        <v>398</v>
      </c>
      <c r="K165" s="36" t="s">
        <v>402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 s="9" customFormat="1" ht="45" x14ac:dyDescent="0.25">
      <c r="A166" s="31"/>
      <c r="B166" s="36">
        <v>162</v>
      </c>
      <c r="C166" s="36" t="s">
        <v>345</v>
      </c>
      <c r="D166" s="36" t="s">
        <v>346</v>
      </c>
      <c r="E166" s="36" t="s">
        <v>574</v>
      </c>
      <c r="F166" s="39">
        <v>20385.68</v>
      </c>
      <c r="G166" s="36" t="s">
        <v>403</v>
      </c>
      <c r="H166" s="36" t="s">
        <v>56</v>
      </c>
      <c r="I166" s="36" t="s">
        <v>24</v>
      </c>
      <c r="J166" s="46" t="s">
        <v>3</v>
      </c>
      <c r="K166" s="36" t="s">
        <v>404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59" s="9" customFormat="1" ht="45.75" x14ac:dyDescent="0.25">
      <c r="A167" s="31"/>
      <c r="B167" s="36">
        <v>163</v>
      </c>
      <c r="C167" s="36" t="s">
        <v>347</v>
      </c>
      <c r="D167" s="36" t="s">
        <v>348</v>
      </c>
      <c r="E167" s="36">
        <v>35</v>
      </c>
      <c r="F167" s="39">
        <v>35</v>
      </c>
      <c r="G167" s="36" t="s">
        <v>403</v>
      </c>
      <c r="H167" s="36" t="s">
        <v>56</v>
      </c>
      <c r="I167" s="36" t="s">
        <v>24</v>
      </c>
      <c r="J167" s="46" t="s">
        <v>6</v>
      </c>
      <c r="K167" s="36" t="s">
        <v>847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1:59" s="9" customFormat="1" ht="90" x14ac:dyDescent="0.25">
      <c r="A168" s="31"/>
      <c r="B168" s="36">
        <v>164</v>
      </c>
      <c r="C168" s="36" t="s">
        <v>349</v>
      </c>
      <c r="D168" s="36" t="s">
        <v>350</v>
      </c>
      <c r="E168" s="36" t="s">
        <v>441</v>
      </c>
      <c r="F168" s="39">
        <v>1800</v>
      </c>
      <c r="G168" s="36" t="s">
        <v>403</v>
      </c>
      <c r="H168" s="36" t="s">
        <v>56</v>
      </c>
      <c r="I168" s="36" t="s">
        <v>24</v>
      </c>
      <c r="J168" s="51" t="s">
        <v>398</v>
      </c>
      <c r="K168" s="36" t="s">
        <v>451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59" ht="45" x14ac:dyDescent="0.25">
      <c r="A169" s="29"/>
      <c r="B169" s="36">
        <v>165</v>
      </c>
      <c r="C169" s="36" t="s">
        <v>109</v>
      </c>
      <c r="D169" s="36" t="s">
        <v>110</v>
      </c>
      <c r="E169" s="36" t="s">
        <v>450</v>
      </c>
      <c r="F169" s="39">
        <v>4800</v>
      </c>
      <c r="G169" s="36" t="s">
        <v>405</v>
      </c>
      <c r="H169" s="36" t="s">
        <v>56</v>
      </c>
      <c r="I169" s="36" t="s">
        <v>24</v>
      </c>
      <c r="J169" s="46" t="s">
        <v>3</v>
      </c>
      <c r="K169" s="36" t="s">
        <v>406</v>
      </c>
    </row>
    <row r="170" spans="1:59" ht="45" x14ac:dyDescent="0.25">
      <c r="A170" s="29"/>
      <c r="B170" s="36">
        <v>166</v>
      </c>
      <c r="C170" s="36" t="s">
        <v>351</v>
      </c>
      <c r="D170" s="36" t="s">
        <v>5</v>
      </c>
      <c r="E170" s="36" t="s">
        <v>446</v>
      </c>
      <c r="F170" s="39">
        <v>3080</v>
      </c>
      <c r="G170" s="36" t="s">
        <v>405</v>
      </c>
      <c r="H170" s="36" t="s">
        <v>56</v>
      </c>
      <c r="I170" s="36" t="s">
        <v>24</v>
      </c>
      <c r="J170" s="46" t="s">
        <v>3</v>
      </c>
      <c r="K170" s="36" t="s">
        <v>407</v>
      </c>
    </row>
    <row r="171" spans="1:59" s="9" customFormat="1" ht="45" x14ac:dyDescent="0.25">
      <c r="A171" s="31"/>
      <c r="B171" s="36">
        <v>167</v>
      </c>
      <c r="C171" s="36" t="s">
        <v>351</v>
      </c>
      <c r="D171" s="36" t="s">
        <v>108</v>
      </c>
      <c r="E171" s="36" t="s">
        <v>445</v>
      </c>
      <c r="F171" s="39">
        <v>2640</v>
      </c>
      <c r="G171" s="36" t="s">
        <v>405</v>
      </c>
      <c r="H171" s="36" t="s">
        <v>56</v>
      </c>
      <c r="I171" s="36" t="s">
        <v>24</v>
      </c>
      <c r="J171" s="46" t="s">
        <v>3</v>
      </c>
      <c r="K171" s="36" t="s">
        <v>408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59" s="9" customFormat="1" ht="45" x14ac:dyDescent="0.2">
      <c r="A172" s="31"/>
      <c r="B172" s="36">
        <v>168</v>
      </c>
      <c r="C172" s="36" t="s">
        <v>187</v>
      </c>
      <c r="D172" s="36" t="s">
        <v>108</v>
      </c>
      <c r="E172" s="36" t="s">
        <v>465</v>
      </c>
      <c r="F172" s="39">
        <v>2200</v>
      </c>
      <c r="G172" s="36" t="s">
        <v>405</v>
      </c>
      <c r="H172" s="36" t="s">
        <v>56</v>
      </c>
      <c r="I172" s="36" t="s">
        <v>24</v>
      </c>
      <c r="J172" s="46" t="s">
        <v>3</v>
      </c>
      <c r="K172" s="54" t="s">
        <v>409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1:59" s="9" customFormat="1" ht="45" x14ac:dyDescent="0.25">
      <c r="A173" s="31"/>
      <c r="B173" s="36">
        <v>169</v>
      </c>
      <c r="C173" s="36" t="s">
        <v>352</v>
      </c>
      <c r="D173" s="36" t="s">
        <v>108</v>
      </c>
      <c r="E173" s="36">
        <v>813</v>
      </c>
      <c r="F173" s="39">
        <v>1100</v>
      </c>
      <c r="G173" s="36" t="s">
        <v>405</v>
      </c>
      <c r="H173" s="36" t="s">
        <v>56</v>
      </c>
      <c r="I173" s="36" t="s">
        <v>24</v>
      </c>
      <c r="J173" s="46" t="s">
        <v>3</v>
      </c>
      <c r="K173" s="36" t="s">
        <v>410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1:59" s="9" customFormat="1" ht="45" x14ac:dyDescent="0.25">
      <c r="A174" s="31"/>
      <c r="B174" s="36">
        <v>170</v>
      </c>
      <c r="C174" s="36" t="s">
        <v>353</v>
      </c>
      <c r="D174" s="36" t="s">
        <v>354</v>
      </c>
      <c r="E174" s="36">
        <v>334</v>
      </c>
      <c r="F174" s="39">
        <v>334</v>
      </c>
      <c r="G174" s="36" t="s">
        <v>405</v>
      </c>
      <c r="H174" s="36" t="s">
        <v>56</v>
      </c>
      <c r="I174" s="36" t="s">
        <v>24</v>
      </c>
      <c r="J174" s="51" t="s">
        <v>8</v>
      </c>
      <c r="K174" s="36" t="s">
        <v>411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1:59" s="9" customFormat="1" ht="45" x14ac:dyDescent="0.25">
      <c r="A175" s="31"/>
      <c r="B175" s="36">
        <v>171</v>
      </c>
      <c r="C175" s="36" t="s">
        <v>353</v>
      </c>
      <c r="D175" s="36" t="s">
        <v>355</v>
      </c>
      <c r="E175" s="36">
        <v>812.5</v>
      </c>
      <c r="F175" s="39">
        <v>812.5</v>
      </c>
      <c r="G175" s="36" t="s">
        <v>405</v>
      </c>
      <c r="H175" s="36" t="s">
        <v>56</v>
      </c>
      <c r="I175" s="36" t="s">
        <v>24</v>
      </c>
      <c r="J175" s="51" t="s">
        <v>8</v>
      </c>
      <c r="K175" s="36" t="s">
        <v>412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59" s="9" customFormat="1" ht="45" x14ac:dyDescent="0.25">
      <c r="A176" s="31"/>
      <c r="B176" s="36">
        <v>172</v>
      </c>
      <c r="C176" s="36" t="s">
        <v>353</v>
      </c>
      <c r="D176" s="36" t="s">
        <v>356</v>
      </c>
      <c r="E176" s="36">
        <v>50</v>
      </c>
      <c r="F176" s="39">
        <v>50</v>
      </c>
      <c r="G176" s="36" t="s">
        <v>405</v>
      </c>
      <c r="H176" s="36" t="s">
        <v>56</v>
      </c>
      <c r="I176" s="36" t="s">
        <v>24</v>
      </c>
      <c r="J176" s="51" t="s">
        <v>8</v>
      </c>
      <c r="K176" s="36" t="s">
        <v>413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1:16245" ht="45" x14ac:dyDescent="0.25">
      <c r="A177" s="29"/>
      <c r="B177" s="36">
        <v>173</v>
      </c>
      <c r="C177" s="36" t="s">
        <v>353</v>
      </c>
      <c r="D177" s="36" t="s">
        <v>4</v>
      </c>
      <c r="E177" s="36">
        <v>500</v>
      </c>
      <c r="F177" s="39">
        <v>500</v>
      </c>
      <c r="G177" s="36" t="s">
        <v>405</v>
      </c>
      <c r="H177" s="36" t="s">
        <v>56</v>
      </c>
      <c r="I177" s="36" t="s">
        <v>24</v>
      </c>
      <c r="J177" s="51" t="s">
        <v>8</v>
      </c>
      <c r="K177" s="36" t="s">
        <v>414</v>
      </c>
    </row>
    <row r="178" spans="1:16245" s="9" customFormat="1" ht="90" x14ac:dyDescent="0.2">
      <c r="A178" s="31"/>
      <c r="B178" s="36">
        <v>174</v>
      </c>
      <c r="C178" s="36" t="s">
        <v>357</v>
      </c>
      <c r="D178" s="36" t="s">
        <v>358</v>
      </c>
      <c r="E178" s="36">
        <f>1570*10</f>
        <v>15700</v>
      </c>
      <c r="F178" s="39">
        <v>15700</v>
      </c>
      <c r="G178" s="36" t="s">
        <v>405</v>
      </c>
      <c r="H178" s="36" t="s">
        <v>28</v>
      </c>
      <c r="I178" s="36" t="s">
        <v>24</v>
      </c>
      <c r="J178" s="51" t="s">
        <v>398</v>
      </c>
      <c r="K178" s="54" t="s">
        <v>639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1:16245" s="9" customFormat="1" ht="90" x14ac:dyDescent="0.25">
      <c r="A179" s="31"/>
      <c r="B179" s="36">
        <v>175</v>
      </c>
      <c r="C179" s="36" t="s">
        <v>359</v>
      </c>
      <c r="D179" s="36" t="s">
        <v>360</v>
      </c>
      <c r="E179" s="36">
        <v>30</v>
      </c>
      <c r="F179" s="39">
        <v>30</v>
      </c>
      <c r="G179" s="36" t="s">
        <v>405</v>
      </c>
      <c r="H179" s="36" t="s">
        <v>415</v>
      </c>
      <c r="I179" s="36" t="s">
        <v>24</v>
      </c>
      <c r="J179" s="51" t="s">
        <v>25</v>
      </c>
      <c r="K179" s="36" t="s">
        <v>746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1:16245" s="9" customFormat="1" ht="45" x14ac:dyDescent="0.25">
      <c r="A180" s="31"/>
      <c r="B180" s="36">
        <v>1</v>
      </c>
      <c r="C180" s="36" t="s">
        <v>887</v>
      </c>
      <c r="D180" s="36" t="s">
        <v>5</v>
      </c>
      <c r="E180" s="36" t="s">
        <v>2923</v>
      </c>
      <c r="F180" s="39">
        <v>7860</v>
      </c>
      <c r="G180" s="36" t="s">
        <v>405</v>
      </c>
      <c r="H180" s="36" t="s">
        <v>56</v>
      </c>
      <c r="I180" s="36" t="s">
        <v>24</v>
      </c>
      <c r="J180" s="46" t="s">
        <v>3</v>
      </c>
      <c r="K180" s="36" t="s">
        <v>2161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1:16245" s="9" customFormat="1" ht="45" x14ac:dyDescent="0.25">
      <c r="A181" s="34"/>
      <c r="B181" s="36">
        <v>2</v>
      </c>
      <c r="C181" s="36" t="s">
        <v>887</v>
      </c>
      <c r="D181" s="36" t="s">
        <v>108</v>
      </c>
      <c r="E181" s="50" t="s">
        <v>637</v>
      </c>
      <c r="F181" s="39">
        <v>4200</v>
      </c>
      <c r="G181" s="36" t="s">
        <v>405</v>
      </c>
      <c r="H181" s="36" t="s">
        <v>56</v>
      </c>
      <c r="I181" s="36" t="s">
        <v>24</v>
      </c>
      <c r="J181" s="46" t="s">
        <v>3</v>
      </c>
      <c r="K181" s="36" t="s">
        <v>2162</v>
      </c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  <c r="IW181" s="23"/>
      <c r="IX181" s="23"/>
      <c r="IY181" s="23"/>
      <c r="IZ181" s="23"/>
      <c r="JA181" s="23"/>
      <c r="JB181" s="23"/>
      <c r="JC181" s="23"/>
      <c r="JD181" s="23"/>
      <c r="JE181" s="23"/>
      <c r="JF181" s="23"/>
      <c r="JG181" s="23"/>
      <c r="JH181" s="23"/>
      <c r="JI181" s="23"/>
      <c r="JJ181" s="23"/>
      <c r="JK181" s="23"/>
      <c r="JL181" s="23"/>
      <c r="JM181" s="23"/>
      <c r="JN181" s="23"/>
      <c r="JO181" s="23"/>
      <c r="JP181" s="23"/>
      <c r="JQ181" s="23"/>
      <c r="JR181" s="23"/>
      <c r="JS181" s="23"/>
      <c r="JT181" s="23"/>
      <c r="JU181" s="23"/>
      <c r="JV181" s="23"/>
      <c r="JW181" s="23"/>
      <c r="JX181" s="23"/>
      <c r="JY181" s="23"/>
      <c r="JZ181" s="23"/>
      <c r="KA181" s="23"/>
      <c r="KB181" s="23"/>
      <c r="KC181" s="23"/>
      <c r="KD181" s="23"/>
      <c r="KE181" s="23"/>
      <c r="KF181" s="23"/>
      <c r="KG181" s="23"/>
      <c r="KH181" s="23"/>
      <c r="KI181" s="23"/>
      <c r="KJ181" s="23"/>
      <c r="KK181" s="23"/>
      <c r="KL181" s="23"/>
      <c r="KM181" s="23"/>
      <c r="KN181" s="23"/>
      <c r="KO181" s="23"/>
      <c r="KP181" s="23"/>
      <c r="KQ181" s="23"/>
      <c r="KR181" s="23"/>
      <c r="KS181" s="23"/>
      <c r="KT181" s="23"/>
      <c r="KU181" s="23"/>
      <c r="KV181" s="23"/>
      <c r="KW181" s="23"/>
      <c r="KX181" s="23"/>
      <c r="KY181" s="23"/>
      <c r="KZ181" s="23"/>
      <c r="LA181" s="23"/>
      <c r="LB181" s="23"/>
      <c r="LC181" s="23"/>
      <c r="LD181" s="23"/>
      <c r="LE181" s="23"/>
      <c r="LF181" s="23"/>
      <c r="LG181" s="23"/>
      <c r="LH181" s="23"/>
      <c r="LI181" s="23"/>
      <c r="LJ181" s="23"/>
      <c r="LK181" s="23"/>
      <c r="LL181" s="23"/>
      <c r="LM181" s="23"/>
      <c r="LN181" s="23"/>
      <c r="LO181" s="23"/>
      <c r="LP181" s="23"/>
      <c r="LQ181" s="23"/>
      <c r="LR181" s="23"/>
      <c r="LS181" s="23"/>
      <c r="LT181" s="23"/>
      <c r="LU181" s="23"/>
      <c r="LV181" s="23"/>
      <c r="LW181" s="23"/>
      <c r="LX181" s="23"/>
      <c r="LY181" s="23"/>
      <c r="LZ181" s="23"/>
      <c r="MA181" s="23"/>
      <c r="MB181" s="23"/>
      <c r="MC181" s="23"/>
      <c r="MD181" s="23"/>
      <c r="ME181" s="23"/>
      <c r="MF181" s="23"/>
      <c r="MG181" s="23"/>
      <c r="MH181" s="23"/>
      <c r="MI181" s="23"/>
      <c r="MJ181" s="23"/>
      <c r="MK181" s="23"/>
      <c r="ML181" s="23"/>
      <c r="MM181" s="23"/>
      <c r="MN181" s="23"/>
      <c r="MO181" s="23"/>
      <c r="MP181" s="23"/>
      <c r="MQ181" s="23"/>
      <c r="MR181" s="23"/>
      <c r="MS181" s="23"/>
      <c r="MT181" s="23"/>
      <c r="MU181" s="23"/>
      <c r="MV181" s="23"/>
      <c r="MW181" s="23"/>
      <c r="MX181" s="23"/>
      <c r="MY181" s="23"/>
      <c r="MZ181" s="23"/>
      <c r="NA181" s="23"/>
      <c r="NB181" s="23"/>
      <c r="NC181" s="23"/>
      <c r="ND181" s="23"/>
      <c r="NE181" s="23"/>
      <c r="NF181" s="23"/>
      <c r="NG181" s="23"/>
      <c r="NH181" s="23"/>
      <c r="NI181" s="23"/>
      <c r="NJ181" s="23"/>
      <c r="NK181" s="23"/>
      <c r="NL181" s="23"/>
      <c r="NM181" s="23"/>
      <c r="NN181" s="23"/>
      <c r="NO181" s="23"/>
      <c r="NP181" s="23"/>
      <c r="NQ181" s="23"/>
      <c r="NR181" s="23"/>
      <c r="NS181" s="23"/>
      <c r="NT181" s="23"/>
      <c r="NU181" s="23"/>
      <c r="NV181" s="23"/>
      <c r="NW181" s="23"/>
      <c r="NX181" s="23"/>
      <c r="NY181" s="23"/>
      <c r="NZ181" s="23"/>
      <c r="OA181" s="23"/>
      <c r="OB181" s="23"/>
      <c r="OC181" s="23"/>
      <c r="OD181" s="23"/>
      <c r="OE181" s="23"/>
      <c r="OF181" s="23"/>
      <c r="OG181" s="23"/>
      <c r="OH181" s="23"/>
      <c r="OI181" s="23"/>
      <c r="OJ181" s="23"/>
      <c r="OK181" s="23"/>
      <c r="OL181" s="23"/>
      <c r="OM181" s="23"/>
      <c r="ON181" s="23"/>
      <c r="OO181" s="23"/>
      <c r="OP181" s="23"/>
      <c r="OQ181" s="23"/>
      <c r="OR181" s="23"/>
      <c r="OS181" s="23"/>
      <c r="OT181" s="23"/>
      <c r="OU181" s="23"/>
      <c r="OV181" s="23"/>
      <c r="OW181" s="23"/>
      <c r="OX181" s="23"/>
      <c r="OY181" s="23"/>
      <c r="OZ181" s="23"/>
      <c r="PA181" s="23"/>
      <c r="PB181" s="23"/>
      <c r="PC181" s="23"/>
      <c r="PD181" s="23"/>
      <c r="PE181" s="23"/>
      <c r="PF181" s="23"/>
      <c r="PG181" s="23"/>
      <c r="PH181" s="23"/>
      <c r="PI181" s="23"/>
      <c r="PJ181" s="23"/>
      <c r="PK181" s="23"/>
      <c r="PL181" s="23"/>
      <c r="PM181" s="23"/>
      <c r="PN181" s="23"/>
      <c r="PO181" s="23"/>
      <c r="PP181" s="23"/>
      <c r="PQ181" s="23"/>
      <c r="PR181" s="23"/>
      <c r="PS181" s="23"/>
      <c r="PT181" s="23"/>
      <c r="PU181" s="23"/>
      <c r="PV181" s="23"/>
      <c r="PW181" s="23"/>
      <c r="PX181" s="23"/>
      <c r="PY181" s="23"/>
      <c r="PZ181" s="23"/>
      <c r="QA181" s="23"/>
      <c r="QB181" s="23"/>
      <c r="QC181" s="23"/>
      <c r="QD181" s="23"/>
      <c r="QE181" s="23"/>
      <c r="QF181" s="23"/>
      <c r="QG181" s="23"/>
      <c r="QH181" s="23"/>
      <c r="QI181" s="23"/>
      <c r="QJ181" s="23"/>
      <c r="QK181" s="23"/>
      <c r="QL181" s="23"/>
      <c r="QM181" s="23"/>
      <c r="QN181" s="23"/>
      <c r="QO181" s="23"/>
      <c r="QP181" s="23"/>
      <c r="QQ181" s="23"/>
      <c r="QR181" s="23"/>
      <c r="QS181" s="23"/>
      <c r="QT181" s="23"/>
      <c r="QU181" s="23"/>
      <c r="QV181" s="23"/>
      <c r="QW181" s="23"/>
      <c r="QX181" s="23"/>
      <c r="QY181" s="23"/>
      <c r="QZ181" s="23"/>
      <c r="RA181" s="23"/>
      <c r="RB181" s="23"/>
      <c r="RC181" s="23"/>
      <c r="RD181" s="23"/>
      <c r="RE181" s="23"/>
      <c r="RF181" s="23"/>
      <c r="RG181" s="23"/>
      <c r="RH181" s="23"/>
      <c r="RI181" s="23"/>
      <c r="RJ181" s="23"/>
      <c r="RK181" s="23"/>
      <c r="RL181" s="23"/>
      <c r="RM181" s="23"/>
      <c r="RN181" s="23"/>
      <c r="RO181" s="23"/>
      <c r="RP181" s="23"/>
      <c r="RQ181" s="23"/>
      <c r="RR181" s="23"/>
      <c r="RS181" s="23"/>
      <c r="RT181" s="23"/>
      <c r="RU181" s="23"/>
      <c r="RV181" s="23"/>
      <c r="RW181" s="23"/>
      <c r="RX181" s="23"/>
      <c r="RY181" s="23"/>
      <c r="RZ181" s="23"/>
      <c r="SA181" s="23"/>
      <c r="SB181" s="23"/>
      <c r="SC181" s="23"/>
      <c r="SD181" s="23"/>
      <c r="SE181" s="23"/>
      <c r="SF181" s="23"/>
      <c r="SG181" s="23"/>
      <c r="SH181" s="23"/>
      <c r="SI181" s="23"/>
      <c r="SJ181" s="23"/>
      <c r="SK181" s="23"/>
      <c r="SL181" s="23"/>
      <c r="SM181" s="23"/>
      <c r="SN181" s="23"/>
      <c r="SO181" s="23"/>
      <c r="SP181" s="23"/>
      <c r="SQ181" s="23"/>
      <c r="SR181" s="23"/>
      <c r="SS181" s="23"/>
      <c r="ST181" s="23"/>
      <c r="SU181" s="23"/>
      <c r="SV181" s="23"/>
      <c r="SW181" s="23"/>
      <c r="SX181" s="23"/>
      <c r="SY181" s="23"/>
      <c r="SZ181" s="23"/>
      <c r="TA181" s="23"/>
      <c r="TB181" s="23"/>
      <c r="TC181" s="23"/>
      <c r="TD181" s="23"/>
      <c r="TE181" s="23"/>
      <c r="TF181" s="23"/>
      <c r="TG181" s="23"/>
      <c r="TH181" s="23"/>
      <c r="TI181" s="23"/>
      <c r="TJ181" s="23"/>
      <c r="TK181" s="23"/>
      <c r="TL181" s="23"/>
      <c r="TM181" s="23"/>
      <c r="TN181" s="23"/>
      <c r="TO181" s="23"/>
      <c r="TP181" s="23"/>
      <c r="TQ181" s="23"/>
      <c r="TR181" s="23"/>
      <c r="TS181" s="23"/>
      <c r="TT181" s="23"/>
      <c r="TU181" s="23"/>
      <c r="TV181" s="23"/>
      <c r="TW181" s="23"/>
      <c r="TX181" s="23"/>
      <c r="TY181" s="23"/>
      <c r="TZ181" s="23"/>
      <c r="UA181" s="23"/>
      <c r="UB181" s="23"/>
      <c r="UC181" s="23"/>
      <c r="UD181" s="23"/>
      <c r="UE181" s="23"/>
      <c r="UF181" s="23"/>
      <c r="UG181" s="23"/>
      <c r="UH181" s="23"/>
      <c r="UI181" s="23"/>
      <c r="UJ181" s="23"/>
      <c r="UK181" s="23"/>
      <c r="UL181" s="23"/>
      <c r="UM181" s="23"/>
      <c r="UN181" s="23"/>
      <c r="UO181" s="23"/>
      <c r="UP181" s="23"/>
      <c r="UQ181" s="23"/>
      <c r="UR181" s="23"/>
      <c r="US181" s="23"/>
      <c r="UT181" s="23"/>
      <c r="UU181" s="23"/>
      <c r="UV181" s="23"/>
      <c r="UW181" s="23"/>
      <c r="UX181" s="23"/>
      <c r="UY181" s="23"/>
      <c r="UZ181" s="23"/>
      <c r="VA181" s="23"/>
      <c r="VB181" s="23"/>
      <c r="VC181" s="23"/>
      <c r="VD181" s="23"/>
      <c r="VE181" s="23"/>
      <c r="VF181" s="23"/>
      <c r="VG181" s="23"/>
      <c r="VH181" s="23"/>
      <c r="VI181" s="23"/>
      <c r="VJ181" s="23"/>
      <c r="VK181" s="23"/>
      <c r="VL181" s="23"/>
      <c r="VM181" s="23"/>
      <c r="VN181" s="23"/>
      <c r="VO181" s="23"/>
      <c r="VP181" s="23"/>
      <c r="VQ181" s="23"/>
      <c r="VR181" s="23"/>
      <c r="VS181" s="23"/>
      <c r="VT181" s="23"/>
      <c r="VU181" s="23"/>
      <c r="VV181" s="23"/>
      <c r="VW181" s="23"/>
      <c r="VX181" s="23"/>
      <c r="VY181" s="23"/>
      <c r="VZ181" s="23"/>
      <c r="WA181" s="23"/>
      <c r="WB181" s="23"/>
      <c r="WC181" s="23"/>
      <c r="WD181" s="23"/>
      <c r="WE181" s="23"/>
      <c r="WF181" s="23"/>
      <c r="WG181" s="23"/>
      <c r="WH181" s="23"/>
      <c r="WI181" s="23"/>
      <c r="WJ181" s="23"/>
      <c r="WK181" s="23"/>
      <c r="WL181" s="23"/>
      <c r="WM181" s="23"/>
      <c r="WN181" s="23"/>
      <c r="WO181" s="23"/>
      <c r="WP181" s="23"/>
      <c r="WQ181" s="23"/>
      <c r="WR181" s="23"/>
      <c r="WS181" s="23"/>
      <c r="WT181" s="23"/>
      <c r="WU181" s="23"/>
      <c r="WV181" s="23"/>
      <c r="WW181" s="23"/>
      <c r="WX181" s="23"/>
      <c r="WY181" s="23"/>
      <c r="WZ181" s="23"/>
      <c r="XA181" s="23"/>
      <c r="XB181" s="23"/>
      <c r="XC181" s="23"/>
      <c r="XD181" s="23"/>
      <c r="XE181" s="23"/>
      <c r="XF181" s="23"/>
      <c r="XG181" s="23"/>
      <c r="XH181" s="23"/>
      <c r="XI181" s="23"/>
      <c r="XJ181" s="23"/>
      <c r="XK181" s="23"/>
      <c r="XL181" s="23"/>
      <c r="XM181" s="23"/>
      <c r="XN181" s="23"/>
      <c r="XO181" s="23"/>
      <c r="XP181" s="23"/>
      <c r="XQ181" s="23"/>
      <c r="XR181" s="23"/>
      <c r="XS181" s="23"/>
      <c r="XT181" s="23"/>
      <c r="XU181" s="23"/>
      <c r="XV181" s="23"/>
      <c r="XW181" s="23"/>
      <c r="XX181" s="23"/>
      <c r="XY181" s="23"/>
      <c r="XZ181" s="23"/>
      <c r="YA181" s="23"/>
      <c r="YB181" s="23"/>
      <c r="YC181" s="23"/>
      <c r="YD181" s="23"/>
      <c r="YE181" s="23"/>
      <c r="YF181" s="23"/>
      <c r="YG181" s="23"/>
      <c r="YH181" s="23"/>
      <c r="YI181" s="23"/>
      <c r="YJ181" s="23"/>
      <c r="YK181" s="23"/>
      <c r="YL181" s="23"/>
      <c r="YM181" s="23"/>
      <c r="YN181" s="23"/>
      <c r="YO181" s="23"/>
      <c r="YP181" s="23"/>
      <c r="YQ181" s="23"/>
      <c r="YR181" s="23"/>
      <c r="YS181" s="23"/>
      <c r="YT181" s="23"/>
      <c r="YU181" s="23"/>
      <c r="YV181" s="23"/>
      <c r="YW181" s="23"/>
      <c r="YX181" s="23"/>
      <c r="YY181" s="23"/>
      <c r="YZ181" s="23"/>
      <c r="ZA181" s="23"/>
      <c r="ZB181" s="23"/>
      <c r="ZC181" s="23"/>
      <c r="ZD181" s="23"/>
      <c r="ZE181" s="23"/>
      <c r="ZF181" s="23"/>
      <c r="ZG181" s="23"/>
      <c r="ZH181" s="23"/>
      <c r="ZI181" s="23"/>
      <c r="ZJ181" s="23"/>
      <c r="ZK181" s="23"/>
      <c r="ZL181" s="23"/>
      <c r="ZM181" s="23"/>
      <c r="ZN181" s="23"/>
      <c r="ZO181" s="23"/>
      <c r="ZP181" s="23"/>
      <c r="ZQ181" s="23"/>
      <c r="ZR181" s="23"/>
      <c r="ZS181" s="23"/>
      <c r="ZT181" s="23"/>
      <c r="ZU181" s="23"/>
      <c r="ZV181" s="23"/>
      <c r="ZW181" s="23"/>
      <c r="ZX181" s="23"/>
      <c r="ZY181" s="23"/>
      <c r="ZZ181" s="23"/>
      <c r="AAA181" s="23"/>
      <c r="AAB181" s="23"/>
      <c r="AAC181" s="23"/>
      <c r="AAD181" s="23"/>
      <c r="AAE181" s="23"/>
      <c r="AAF181" s="23"/>
      <c r="AAG181" s="23"/>
      <c r="AAH181" s="23"/>
      <c r="AAI181" s="23"/>
      <c r="AAJ181" s="23"/>
      <c r="AAK181" s="23"/>
      <c r="AAL181" s="23"/>
      <c r="AAM181" s="23"/>
      <c r="AAN181" s="23"/>
      <c r="AAO181" s="23"/>
      <c r="AAP181" s="23"/>
      <c r="AAQ181" s="23"/>
      <c r="AAR181" s="23"/>
      <c r="AAS181" s="23"/>
      <c r="AAT181" s="23"/>
      <c r="AAU181" s="23"/>
      <c r="AAV181" s="23"/>
      <c r="AAW181" s="23"/>
      <c r="AAX181" s="23"/>
      <c r="AAY181" s="23"/>
      <c r="AAZ181" s="23"/>
      <c r="ABA181" s="23"/>
      <c r="ABB181" s="23"/>
      <c r="ABC181" s="23"/>
      <c r="ABD181" s="23"/>
      <c r="ABE181" s="23"/>
      <c r="ABF181" s="23"/>
      <c r="ABG181" s="23"/>
      <c r="ABH181" s="23"/>
      <c r="ABI181" s="23"/>
      <c r="ABJ181" s="23"/>
      <c r="ABK181" s="23"/>
      <c r="ABL181" s="23"/>
      <c r="ABM181" s="23"/>
      <c r="ABN181" s="23"/>
      <c r="ABO181" s="23"/>
      <c r="ABP181" s="23"/>
      <c r="ABQ181" s="23"/>
      <c r="ABR181" s="23"/>
      <c r="ABS181" s="23"/>
      <c r="ABT181" s="23"/>
      <c r="ABU181" s="23"/>
      <c r="ABV181" s="23"/>
      <c r="ABW181" s="23"/>
      <c r="ABX181" s="23"/>
      <c r="ABY181" s="23"/>
      <c r="ABZ181" s="23"/>
      <c r="ACA181" s="23"/>
      <c r="ACB181" s="23"/>
      <c r="ACC181" s="23"/>
      <c r="ACD181" s="23"/>
      <c r="ACE181" s="23"/>
      <c r="ACF181" s="23"/>
      <c r="ACG181" s="23"/>
      <c r="ACH181" s="23"/>
      <c r="ACI181" s="23"/>
      <c r="ACJ181" s="23"/>
      <c r="ACK181" s="23"/>
      <c r="ACL181" s="23"/>
      <c r="ACM181" s="23"/>
      <c r="ACN181" s="23"/>
      <c r="ACO181" s="23"/>
      <c r="ACP181" s="23"/>
      <c r="ACQ181" s="23"/>
      <c r="ACR181" s="23"/>
      <c r="ACS181" s="23"/>
      <c r="ACT181" s="23"/>
      <c r="ACU181" s="23"/>
      <c r="ACV181" s="23"/>
      <c r="ACW181" s="23"/>
      <c r="ACX181" s="23"/>
      <c r="ACY181" s="23"/>
      <c r="ACZ181" s="23"/>
      <c r="ADA181" s="23"/>
      <c r="ADB181" s="23"/>
      <c r="ADC181" s="23"/>
      <c r="ADD181" s="23"/>
      <c r="ADE181" s="23"/>
      <c r="ADF181" s="23"/>
      <c r="ADG181" s="23"/>
      <c r="ADH181" s="23"/>
      <c r="ADI181" s="23"/>
      <c r="ADJ181" s="23"/>
      <c r="ADK181" s="23"/>
      <c r="ADL181" s="23"/>
      <c r="ADM181" s="23"/>
      <c r="ADN181" s="23"/>
      <c r="ADO181" s="23"/>
      <c r="ADP181" s="23"/>
      <c r="ADQ181" s="23"/>
      <c r="ADR181" s="23"/>
      <c r="ADS181" s="23"/>
      <c r="ADT181" s="23"/>
      <c r="ADU181" s="23"/>
      <c r="ADV181" s="23"/>
      <c r="ADW181" s="23"/>
      <c r="ADX181" s="23"/>
      <c r="ADY181" s="23"/>
      <c r="ADZ181" s="23"/>
      <c r="AEA181" s="23"/>
      <c r="AEB181" s="23"/>
      <c r="AEC181" s="23"/>
      <c r="AED181" s="23"/>
      <c r="AEE181" s="23"/>
      <c r="AEF181" s="23"/>
      <c r="AEG181" s="23"/>
      <c r="AEH181" s="23"/>
      <c r="AEI181" s="23"/>
      <c r="AEJ181" s="23"/>
      <c r="AEK181" s="23"/>
      <c r="AEL181" s="23"/>
      <c r="AEM181" s="23"/>
      <c r="AEN181" s="23"/>
      <c r="AEO181" s="23"/>
      <c r="AEP181" s="23"/>
      <c r="AEQ181" s="23"/>
      <c r="AER181" s="23"/>
      <c r="AES181" s="23"/>
      <c r="AET181" s="23"/>
      <c r="AEU181" s="23"/>
      <c r="AEV181" s="23"/>
      <c r="AEW181" s="23"/>
      <c r="AEX181" s="23"/>
      <c r="AEY181" s="23"/>
      <c r="AEZ181" s="23"/>
      <c r="AFA181" s="23"/>
      <c r="AFB181" s="23"/>
      <c r="AFC181" s="23"/>
      <c r="AFD181" s="23"/>
      <c r="AFE181" s="23"/>
      <c r="AFF181" s="23"/>
      <c r="AFG181" s="23"/>
      <c r="AFH181" s="23"/>
      <c r="AFI181" s="23"/>
      <c r="AFJ181" s="23"/>
      <c r="AFK181" s="23"/>
      <c r="AFL181" s="23"/>
      <c r="AFM181" s="23"/>
      <c r="AFN181" s="23"/>
      <c r="AFO181" s="23"/>
      <c r="AFP181" s="23"/>
      <c r="AFQ181" s="23"/>
      <c r="AFR181" s="23"/>
      <c r="AFS181" s="23"/>
      <c r="AFT181" s="23"/>
      <c r="AFU181" s="23"/>
      <c r="AFV181" s="23"/>
      <c r="AFW181" s="23"/>
      <c r="AFX181" s="23"/>
      <c r="AFY181" s="23"/>
      <c r="AFZ181" s="23"/>
      <c r="AGA181" s="23"/>
      <c r="AGB181" s="23"/>
      <c r="AGC181" s="23"/>
      <c r="AGD181" s="23"/>
      <c r="AGE181" s="23"/>
      <c r="AGF181" s="23"/>
      <c r="AGG181" s="23"/>
      <c r="AGH181" s="23"/>
      <c r="AGI181" s="23"/>
      <c r="AGJ181" s="23"/>
      <c r="AGK181" s="23"/>
      <c r="AGL181" s="23"/>
      <c r="AGM181" s="23"/>
      <c r="AGN181" s="23"/>
      <c r="AGO181" s="23"/>
      <c r="AGP181" s="23"/>
      <c r="AGQ181" s="23"/>
      <c r="AGR181" s="23"/>
      <c r="AGS181" s="23"/>
      <c r="AGT181" s="23"/>
      <c r="AGU181" s="23"/>
      <c r="AGV181" s="23"/>
      <c r="AGW181" s="23"/>
      <c r="AGX181" s="23"/>
      <c r="AGY181" s="23"/>
      <c r="AGZ181" s="23"/>
      <c r="AHA181" s="23"/>
      <c r="AHB181" s="23"/>
      <c r="AHC181" s="23"/>
      <c r="AHD181" s="23"/>
      <c r="AHE181" s="23"/>
      <c r="AHF181" s="23"/>
      <c r="AHG181" s="23"/>
      <c r="AHH181" s="23"/>
      <c r="AHI181" s="23"/>
      <c r="AHJ181" s="23"/>
      <c r="AHK181" s="23"/>
      <c r="AHL181" s="23"/>
      <c r="AHM181" s="23"/>
      <c r="AHN181" s="23"/>
      <c r="AHO181" s="23"/>
      <c r="AHP181" s="23"/>
      <c r="AHQ181" s="23"/>
      <c r="AHR181" s="23"/>
      <c r="AHS181" s="23"/>
      <c r="AHT181" s="23"/>
      <c r="AHU181" s="23"/>
      <c r="AHV181" s="23"/>
      <c r="AHW181" s="23"/>
      <c r="AHX181" s="23"/>
      <c r="AHY181" s="23"/>
      <c r="AHZ181" s="23"/>
      <c r="AIA181" s="23"/>
      <c r="AIB181" s="23"/>
      <c r="AIC181" s="23"/>
      <c r="AID181" s="23"/>
      <c r="AIE181" s="23"/>
      <c r="AIF181" s="23"/>
      <c r="AIG181" s="23"/>
      <c r="AIH181" s="23"/>
      <c r="AII181" s="23"/>
      <c r="AIJ181" s="23"/>
      <c r="AIK181" s="23"/>
      <c r="AIL181" s="23"/>
      <c r="AIM181" s="23"/>
      <c r="AIN181" s="23"/>
      <c r="AIO181" s="23"/>
      <c r="AIP181" s="23"/>
      <c r="AIQ181" s="23"/>
      <c r="AIR181" s="23"/>
      <c r="AIS181" s="23"/>
      <c r="AIT181" s="23"/>
      <c r="AIU181" s="23"/>
      <c r="AIV181" s="23"/>
      <c r="AIW181" s="23"/>
      <c r="AIX181" s="23"/>
      <c r="AIY181" s="23"/>
      <c r="AIZ181" s="23"/>
      <c r="AJA181" s="23"/>
      <c r="AJB181" s="23"/>
      <c r="AJC181" s="23"/>
      <c r="AJD181" s="23"/>
      <c r="AJE181" s="23"/>
      <c r="AJF181" s="23"/>
      <c r="AJG181" s="23"/>
      <c r="AJH181" s="23"/>
      <c r="AJI181" s="23"/>
      <c r="AJJ181" s="23"/>
      <c r="AJK181" s="23"/>
      <c r="AJL181" s="23"/>
      <c r="AJM181" s="23"/>
      <c r="AJN181" s="23"/>
      <c r="AJO181" s="23"/>
      <c r="AJP181" s="23"/>
      <c r="AJQ181" s="23"/>
      <c r="AJR181" s="23"/>
      <c r="AJS181" s="23"/>
      <c r="AJT181" s="23"/>
      <c r="AJU181" s="23"/>
      <c r="AJV181" s="23"/>
      <c r="AJW181" s="23"/>
      <c r="AJX181" s="23"/>
      <c r="AJY181" s="23"/>
      <c r="AJZ181" s="23"/>
      <c r="AKA181" s="23"/>
      <c r="AKB181" s="23"/>
      <c r="AKC181" s="23"/>
      <c r="AKD181" s="23"/>
      <c r="AKE181" s="23"/>
      <c r="AKF181" s="23"/>
      <c r="AKG181" s="23"/>
      <c r="AKH181" s="23"/>
      <c r="AKI181" s="23"/>
      <c r="AKJ181" s="23"/>
      <c r="AKK181" s="23"/>
      <c r="AKL181" s="23"/>
      <c r="AKM181" s="23"/>
      <c r="AKN181" s="23"/>
      <c r="AKO181" s="23"/>
      <c r="AKP181" s="23"/>
      <c r="AKQ181" s="23"/>
      <c r="AKR181" s="23"/>
      <c r="AKS181" s="23"/>
      <c r="AKT181" s="23"/>
      <c r="AKU181" s="23"/>
      <c r="AKV181" s="23"/>
      <c r="AKW181" s="23"/>
      <c r="AKX181" s="23"/>
      <c r="AKY181" s="23"/>
      <c r="AKZ181" s="23"/>
      <c r="ALA181" s="23"/>
      <c r="ALB181" s="23"/>
      <c r="ALC181" s="23"/>
      <c r="ALD181" s="23"/>
      <c r="ALE181" s="23"/>
      <c r="ALF181" s="23"/>
      <c r="ALG181" s="23"/>
      <c r="ALH181" s="23"/>
      <c r="ALI181" s="23"/>
      <c r="ALJ181" s="23"/>
      <c r="ALK181" s="23"/>
      <c r="ALL181" s="23"/>
      <c r="ALM181" s="23"/>
      <c r="ALN181" s="23"/>
      <c r="ALO181" s="23"/>
      <c r="ALP181" s="23"/>
      <c r="ALQ181" s="23"/>
      <c r="ALR181" s="23"/>
      <c r="ALS181" s="23"/>
      <c r="ALT181" s="23"/>
      <c r="ALU181" s="23"/>
      <c r="ALV181" s="23"/>
      <c r="ALW181" s="23"/>
      <c r="ALX181" s="23"/>
      <c r="ALY181" s="23"/>
      <c r="ALZ181" s="23"/>
      <c r="AMA181" s="23"/>
      <c r="AMB181" s="23"/>
      <c r="AMC181" s="23"/>
      <c r="AMD181" s="23"/>
      <c r="AME181" s="23"/>
      <c r="AMF181" s="23"/>
      <c r="AMG181" s="23"/>
      <c r="AMH181" s="23"/>
      <c r="AMI181" s="23"/>
      <c r="AMJ181" s="23"/>
      <c r="AMK181" s="23"/>
      <c r="AML181" s="23"/>
      <c r="AMM181" s="23"/>
      <c r="AMN181" s="23"/>
      <c r="AMO181" s="23"/>
      <c r="AMP181" s="23"/>
      <c r="AMQ181" s="23"/>
      <c r="AMR181" s="23"/>
      <c r="AMS181" s="23"/>
      <c r="AMT181" s="23"/>
      <c r="AMU181" s="23"/>
      <c r="AMV181" s="23"/>
      <c r="AMW181" s="23"/>
      <c r="AMX181" s="23"/>
      <c r="AMY181" s="23"/>
      <c r="AMZ181" s="23"/>
      <c r="ANA181" s="23"/>
      <c r="ANB181" s="23"/>
      <c r="ANC181" s="23"/>
      <c r="AND181" s="23"/>
      <c r="ANE181" s="23"/>
      <c r="ANF181" s="23"/>
      <c r="ANG181" s="23"/>
      <c r="ANH181" s="23"/>
      <c r="ANI181" s="23"/>
      <c r="ANJ181" s="23"/>
      <c r="ANK181" s="23"/>
      <c r="ANL181" s="23"/>
      <c r="ANM181" s="23"/>
      <c r="ANN181" s="23"/>
      <c r="ANO181" s="23"/>
      <c r="ANP181" s="23"/>
      <c r="ANQ181" s="23"/>
      <c r="ANR181" s="23"/>
      <c r="ANS181" s="23"/>
      <c r="ANT181" s="23"/>
      <c r="ANU181" s="23"/>
      <c r="ANV181" s="23"/>
      <c r="ANW181" s="23"/>
      <c r="ANX181" s="23"/>
      <c r="ANY181" s="23"/>
      <c r="ANZ181" s="23"/>
      <c r="AOA181" s="23"/>
      <c r="AOB181" s="23"/>
      <c r="AOC181" s="23"/>
      <c r="AOD181" s="23"/>
      <c r="AOE181" s="23"/>
      <c r="AOF181" s="23"/>
      <c r="AOG181" s="23"/>
      <c r="AOH181" s="23"/>
      <c r="AOI181" s="23"/>
      <c r="AOJ181" s="23"/>
      <c r="AOK181" s="23"/>
      <c r="AOL181" s="23"/>
      <c r="AOM181" s="23"/>
      <c r="AON181" s="23"/>
      <c r="AOO181" s="23"/>
      <c r="AOP181" s="23"/>
      <c r="AOQ181" s="23"/>
      <c r="AOR181" s="23"/>
      <c r="AOS181" s="23"/>
      <c r="AOT181" s="23"/>
      <c r="AOU181" s="23"/>
      <c r="AOV181" s="23"/>
      <c r="AOW181" s="23"/>
      <c r="AOX181" s="23"/>
      <c r="AOY181" s="23"/>
      <c r="AOZ181" s="23"/>
      <c r="APA181" s="23"/>
      <c r="APB181" s="23"/>
      <c r="APC181" s="23"/>
      <c r="APD181" s="23"/>
      <c r="APE181" s="23"/>
      <c r="APF181" s="23"/>
      <c r="APG181" s="23"/>
      <c r="APH181" s="23"/>
      <c r="API181" s="23"/>
      <c r="APJ181" s="23"/>
      <c r="APK181" s="23"/>
      <c r="APL181" s="23"/>
      <c r="APM181" s="23"/>
      <c r="APN181" s="23"/>
      <c r="APO181" s="23"/>
      <c r="APP181" s="23"/>
      <c r="APQ181" s="23"/>
      <c r="APR181" s="23"/>
      <c r="APS181" s="23"/>
      <c r="APT181" s="23"/>
      <c r="APU181" s="23"/>
      <c r="APV181" s="23"/>
      <c r="APW181" s="23"/>
      <c r="APX181" s="23"/>
      <c r="APY181" s="23"/>
      <c r="APZ181" s="23"/>
      <c r="AQA181" s="23"/>
      <c r="AQB181" s="23"/>
      <c r="AQC181" s="23"/>
      <c r="AQD181" s="23"/>
      <c r="AQE181" s="23"/>
      <c r="AQF181" s="23"/>
      <c r="AQG181" s="23"/>
      <c r="AQH181" s="23"/>
      <c r="AQI181" s="23"/>
      <c r="AQJ181" s="23"/>
      <c r="AQK181" s="23"/>
      <c r="AQL181" s="23"/>
      <c r="AQM181" s="23"/>
      <c r="AQN181" s="23"/>
      <c r="AQO181" s="23"/>
      <c r="AQP181" s="23"/>
      <c r="AQQ181" s="23"/>
      <c r="AQR181" s="23"/>
      <c r="AQS181" s="23"/>
      <c r="AQT181" s="23"/>
      <c r="AQU181" s="23"/>
      <c r="AQV181" s="23"/>
      <c r="AQW181" s="23"/>
      <c r="AQX181" s="23"/>
      <c r="AQY181" s="23"/>
      <c r="AQZ181" s="23"/>
      <c r="ARA181" s="23"/>
      <c r="ARB181" s="23"/>
      <c r="ARC181" s="23"/>
      <c r="ARD181" s="23"/>
      <c r="ARE181" s="23"/>
      <c r="ARF181" s="23"/>
      <c r="ARG181" s="23"/>
      <c r="ARH181" s="23"/>
      <c r="ARI181" s="23"/>
      <c r="ARJ181" s="23"/>
      <c r="ARK181" s="23"/>
      <c r="ARL181" s="23"/>
      <c r="ARM181" s="23"/>
      <c r="ARN181" s="23"/>
      <c r="ARO181" s="23"/>
      <c r="ARP181" s="23"/>
      <c r="ARQ181" s="23"/>
      <c r="ARR181" s="23"/>
      <c r="ARS181" s="23"/>
      <c r="ART181" s="23"/>
      <c r="ARU181" s="23"/>
      <c r="ARV181" s="23"/>
      <c r="ARW181" s="23"/>
      <c r="ARX181" s="23"/>
      <c r="ARY181" s="23"/>
      <c r="ARZ181" s="23"/>
      <c r="ASA181" s="23"/>
      <c r="ASB181" s="23"/>
      <c r="ASC181" s="23"/>
      <c r="ASD181" s="23"/>
      <c r="ASE181" s="23"/>
      <c r="ASF181" s="23"/>
      <c r="ASG181" s="23"/>
      <c r="ASH181" s="23"/>
      <c r="ASI181" s="23"/>
      <c r="ASJ181" s="23"/>
      <c r="ASK181" s="23"/>
      <c r="ASL181" s="23"/>
      <c r="ASM181" s="23"/>
      <c r="ASN181" s="23"/>
      <c r="ASO181" s="23"/>
      <c r="ASP181" s="23"/>
      <c r="ASQ181" s="23"/>
      <c r="ASR181" s="23"/>
      <c r="ASS181" s="23"/>
      <c r="AST181" s="23"/>
      <c r="ASU181" s="23"/>
      <c r="ASV181" s="23"/>
      <c r="ASW181" s="23"/>
      <c r="ASX181" s="23"/>
      <c r="ASY181" s="23"/>
      <c r="ASZ181" s="23"/>
      <c r="ATA181" s="23"/>
      <c r="ATB181" s="23"/>
      <c r="ATC181" s="23"/>
      <c r="ATD181" s="23"/>
      <c r="ATE181" s="23"/>
      <c r="ATF181" s="23"/>
      <c r="ATG181" s="23"/>
      <c r="ATH181" s="23"/>
      <c r="ATI181" s="23"/>
      <c r="ATJ181" s="23"/>
      <c r="ATK181" s="23"/>
      <c r="ATL181" s="23"/>
      <c r="ATM181" s="23"/>
      <c r="ATN181" s="23"/>
      <c r="ATO181" s="23"/>
      <c r="ATP181" s="23"/>
      <c r="ATQ181" s="23"/>
      <c r="ATR181" s="23"/>
      <c r="ATS181" s="23"/>
      <c r="ATT181" s="23"/>
      <c r="ATU181" s="23"/>
      <c r="ATV181" s="23"/>
      <c r="ATW181" s="23"/>
      <c r="ATX181" s="23"/>
      <c r="ATY181" s="23"/>
      <c r="ATZ181" s="23"/>
      <c r="AUA181" s="23"/>
      <c r="AUB181" s="23"/>
      <c r="AUC181" s="23"/>
      <c r="AUD181" s="23"/>
      <c r="AUE181" s="23"/>
      <c r="AUF181" s="23"/>
      <c r="AUG181" s="23"/>
      <c r="AUH181" s="23"/>
      <c r="AUI181" s="23"/>
      <c r="AUJ181" s="23"/>
      <c r="AUK181" s="23"/>
      <c r="AUL181" s="23"/>
      <c r="AUM181" s="23"/>
      <c r="AUN181" s="23"/>
      <c r="AUO181" s="23"/>
      <c r="AUP181" s="23"/>
      <c r="AUQ181" s="23"/>
      <c r="AUR181" s="23"/>
      <c r="AUS181" s="23"/>
      <c r="AUT181" s="23"/>
      <c r="AUU181" s="23"/>
      <c r="AUV181" s="23"/>
      <c r="AUW181" s="23"/>
      <c r="AUX181" s="23"/>
      <c r="AUY181" s="23"/>
      <c r="AUZ181" s="23"/>
      <c r="AVA181" s="23"/>
      <c r="AVB181" s="23"/>
      <c r="AVC181" s="23"/>
      <c r="AVD181" s="23"/>
      <c r="AVE181" s="23"/>
      <c r="AVF181" s="23"/>
      <c r="AVG181" s="23"/>
      <c r="AVH181" s="23"/>
      <c r="AVI181" s="23"/>
      <c r="AVJ181" s="23"/>
      <c r="AVK181" s="23"/>
      <c r="AVL181" s="23"/>
      <c r="AVM181" s="23"/>
      <c r="AVN181" s="23"/>
      <c r="AVO181" s="23"/>
      <c r="AVP181" s="23"/>
      <c r="AVQ181" s="23"/>
      <c r="AVR181" s="23"/>
      <c r="AVS181" s="23"/>
      <c r="AVT181" s="23"/>
      <c r="AVU181" s="23"/>
      <c r="AVV181" s="23"/>
      <c r="AVW181" s="23"/>
      <c r="AVX181" s="23"/>
      <c r="AVY181" s="23"/>
      <c r="AVZ181" s="23"/>
      <c r="AWA181" s="23"/>
      <c r="AWB181" s="23"/>
      <c r="AWC181" s="23"/>
      <c r="AWD181" s="23"/>
      <c r="AWE181" s="23"/>
      <c r="AWF181" s="23"/>
      <c r="AWG181" s="23"/>
      <c r="AWH181" s="23"/>
      <c r="AWI181" s="23"/>
      <c r="AWJ181" s="23"/>
      <c r="AWK181" s="23"/>
      <c r="AWL181" s="23"/>
      <c r="AWM181" s="23"/>
      <c r="AWN181" s="23"/>
      <c r="AWO181" s="23"/>
      <c r="AWP181" s="23"/>
      <c r="AWQ181" s="23"/>
      <c r="AWR181" s="23"/>
      <c r="AWS181" s="23"/>
      <c r="AWT181" s="23"/>
      <c r="AWU181" s="23"/>
      <c r="AWV181" s="23"/>
      <c r="AWW181" s="23"/>
      <c r="AWX181" s="23"/>
      <c r="AWY181" s="23"/>
      <c r="AWZ181" s="23"/>
      <c r="AXA181" s="23"/>
      <c r="AXB181" s="23"/>
      <c r="AXC181" s="23"/>
      <c r="AXD181" s="23"/>
      <c r="AXE181" s="23"/>
      <c r="AXF181" s="23"/>
      <c r="AXG181" s="23"/>
      <c r="AXH181" s="23"/>
      <c r="AXI181" s="23"/>
      <c r="AXJ181" s="23"/>
      <c r="AXK181" s="23"/>
      <c r="AXL181" s="23"/>
      <c r="AXM181" s="23"/>
      <c r="AXN181" s="23"/>
      <c r="AXO181" s="23"/>
      <c r="AXP181" s="23"/>
      <c r="AXQ181" s="23"/>
      <c r="AXR181" s="23"/>
      <c r="AXS181" s="23"/>
      <c r="AXT181" s="23"/>
      <c r="AXU181" s="23"/>
      <c r="AXV181" s="23"/>
      <c r="AXW181" s="23"/>
      <c r="AXX181" s="23"/>
      <c r="AXY181" s="23"/>
      <c r="AXZ181" s="23"/>
      <c r="AYA181" s="23"/>
      <c r="AYB181" s="23"/>
      <c r="AYC181" s="23"/>
      <c r="AYD181" s="23"/>
      <c r="AYE181" s="23"/>
      <c r="AYF181" s="23"/>
      <c r="AYG181" s="23"/>
      <c r="AYH181" s="23"/>
      <c r="AYI181" s="23"/>
      <c r="AYJ181" s="23"/>
      <c r="AYK181" s="23"/>
      <c r="AYL181" s="23"/>
      <c r="AYM181" s="23"/>
      <c r="AYN181" s="23"/>
      <c r="AYO181" s="23"/>
      <c r="AYP181" s="23"/>
      <c r="AYQ181" s="23"/>
      <c r="AYR181" s="23"/>
      <c r="AYS181" s="23"/>
      <c r="AYT181" s="23"/>
      <c r="AYU181" s="23"/>
      <c r="AYV181" s="23"/>
      <c r="AYW181" s="23"/>
      <c r="AYX181" s="23"/>
      <c r="AYY181" s="23"/>
      <c r="AYZ181" s="23"/>
      <c r="AZA181" s="23"/>
      <c r="AZB181" s="23"/>
      <c r="AZC181" s="23"/>
      <c r="AZD181" s="23"/>
      <c r="AZE181" s="23"/>
      <c r="AZF181" s="23"/>
      <c r="AZG181" s="23"/>
      <c r="AZH181" s="23"/>
      <c r="AZI181" s="23"/>
      <c r="AZJ181" s="23"/>
      <c r="AZK181" s="23"/>
      <c r="AZL181" s="23"/>
      <c r="AZM181" s="23"/>
      <c r="AZN181" s="23"/>
      <c r="AZO181" s="23"/>
      <c r="AZP181" s="23"/>
      <c r="AZQ181" s="23"/>
      <c r="AZR181" s="23"/>
      <c r="AZS181" s="23"/>
      <c r="AZT181" s="23"/>
      <c r="AZU181" s="23"/>
      <c r="AZV181" s="23"/>
      <c r="AZW181" s="23"/>
      <c r="AZX181" s="23"/>
      <c r="AZY181" s="23"/>
      <c r="AZZ181" s="23"/>
      <c r="BAA181" s="23"/>
      <c r="BAB181" s="23"/>
      <c r="BAC181" s="23"/>
      <c r="BAD181" s="23"/>
      <c r="BAE181" s="23"/>
      <c r="BAF181" s="23"/>
      <c r="BAG181" s="23"/>
      <c r="BAH181" s="23"/>
      <c r="BAI181" s="23"/>
      <c r="BAJ181" s="23"/>
      <c r="BAK181" s="23"/>
      <c r="BAL181" s="23"/>
      <c r="BAM181" s="23"/>
      <c r="BAN181" s="23"/>
      <c r="BAO181" s="23"/>
      <c r="BAP181" s="23"/>
      <c r="BAQ181" s="23"/>
      <c r="BAR181" s="23"/>
      <c r="BAS181" s="23"/>
      <c r="BAT181" s="23"/>
      <c r="BAU181" s="23"/>
      <c r="BAV181" s="23"/>
      <c r="BAW181" s="23"/>
      <c r="BAX181" s="23"/>
      <c r="BAY181" s="23"/>
      <c r="BAZ181" s="23"/>
      <c r="BBA181" s="23"/>
      <c r="BBB181" s="23"/>
      <c r="BBC181" s="23"/>
      <c r="BBD181" s="23"/>
      <c r="BBE181" s="23"/>
      <c r="BBF181" s="23"/>
      <c r="BBG181" s="23"/>
      <c r="BBH181" s="23"/>
      <c r="BBI181" s="23"/>
      <c r="BBJ181" s="23"/>
      <c r="BBK181" s="23"/>
      <c r="BBL181" s="23"/>
      <c r="BBM181" s="23"/>
      <c r="BBN181" s="23"/>
      <c r="BBO181" s="23"/>
      <c r="BBP181" s="23"/>
      <c r="BBQ181" s="23"/>
      <c r="BBR181" s="23"/>
      <c r="BBS181" s="23"/>
      <c r="BBT181" s="23"/>
      <c r="BBU181" s="23"/>
      <c r="BBV181" s="23"/>
      <c r="BBW181" s="23"/>
      <c r="BBX181" s="23"/>
      <c r="BBY181" s="23"/>
      <c r="BBZ181" s="23"/>
      <c r="BCA181" s="23"/>
      <c r="BCB181" s="23"/>
      <c r="BCC181" s="23"/>
      <c r="BCD181" s="23"/>
      <c r="BCE181" s="23"/>
      <c r="BCF181" s="23"/>
      <c r="BCG181" s="23"/>
      <c r="BCH181" s="23"/>
      <c r="BCI181" s="23"/>
      <c r="BCJ181" s="23"/>
      <c r="BCK181" s="23"/>
      <c r="BCL181" s="23"/>
      <c r="BCM181" s="23"/>
      <c r="BCN181" s="23"/>
      <c r="BCO181" s="23"/>
      <c r="BCP181" s="23"/>
      <c r="BCQ181" s="23"/>
      <c r="BCR181" s="23"/>
      <c r="BCS181" s="23"/>
      <c r="BCT181" s="23"/>
      <c r="BCU181" s="23"/>
      <c r="BCV181" s="23"/>
      <c r="BCW181" s="23"/>
      <c r="BCX181" s="23"/>
      <c r="BCY181" s="23"/>
      <c r="BCZ181" s="23"/>
      <c r="BDA181" s="23"/>
      <c r="BDB181" s="23"/>
      <c r="BDC181" s="23"/>
      <c r="BDD181" s="23"/>
      <c r="BDE181" s="23"/>
      <c r="BDF181" s="23"/>
      <c r="BDG181" s="23"/>
      <c r="BDH181" s="23"/>
      <c r="BDI181" s="23"/>
      <c r="BDJ181" s="23"/>
      <c r="BDK181" s="23"/>
      <c r="BDL181" s="23"/>
      <c r="BDM181" s="23"/>
      <c r="BDN181" s="23"/>
      <c r="BDO181" s="23"/>
      <c r="BDP181" s="23"/>
      <c r="BDQ181" s="23"/>
      <c r="BDR181" s="23"/>
      <c r="BDS181" s="23"/>
      <c r="BDT181" s="23"/>
      <c r="BDU181" s="23"/>
      <c r="BDV181" s="23"/>
      <c r="BDW181" s="23"/>
      <c r="BDX181" s="23"/>
      <c r="BDY181" s="23"/>
      <c r="BDZ181" s="23"/>
      <c r="BEA181" s="23"/>
      <c r="BEB181" s="23"/>
      <c r="BEC181" s="23"/>
      <c r="BED181" s="23"/>
      <c r="BEE181" s="23"/>
      <c r="BEF181" s="23"/>
      <c r="BEG181" s="23"/>
      <c r="BEH181" s="23"/>
      <c r="BEI181" s="23"/>
      <c r="BEJ181" s="23"/>
      <c r="BEK181" s="23"/>
      <c r="BEL181" s="23"/>
      <c r="BEM181" s="23"/>
      <c r="BEN181" s="23"/>
      <c r="BEO181" s="23"/>
      <c r="BEP181" s="23"/>
      <c r="BEQ181" s="23"/>
      <c r="BER181" s="23"/>
      <c r="BES181" s="23"/>
      <c r="BET181" s="23"/>
      <c r="BEU181" s="23"/>
      <c r="BEV181" s="23"/>
      <c r="BEW181" s="23"/>
      <c r="BEX181" s="23"/>
      <c r="BEY181" s="23"/>
      <c r="BEZ181" s="23"/>
      <c r="BFA181" s="23"/>
      <c r="BFB181" s="23"/>
      <c r="BFC181" s="23"/>
      <c r="BFD181" s="23"/>
      <c r="BFE181" s="23"/>
      <c r="BFF181" s="23"/>
      <c r="BFG181" s="23"/>
      <c r="BFH181" s="23"/>
      <c r="BFI181" s="23"/>
      <c r="BFJ181" s="23"/>
      <c r="BFK181" s="23"/>
      <c r="BFL181" s="23"/>
      <c r="BFM181" s="23"/>
      <c r="BFN181" s="23"/>
      <c r="BFO181" s="23"/>
      <c r="BFP181" s="23"/>
      <c r="BFQ181" s="23"/>
      <c r="BFR181" s="23"/>
      <c r="BFS181" s="23"/>
      <c r="BFT181" s="23"/>
      <c r="BFU181" s="23"/>
      <c r="BFV181" s="23"/>
      <c r="BFW181" s="23"/>
      <c r="BFX181" s="23"/>
      <c r="BFY181" s="23"/>
      <c r="BFZ181" s="23"/>
      <c r="BGA181" s="23"/>
      <c r="BGB181" s="23"/>
      <c r="BGC181" s="23"/>
      <c r="BGD181" s="23"/>
      <c r="BGE181" s="23"/>
      <c r="BGF181" s="23"/>
      <c r="BGG181" s="23"/>
      <c r="BGH181" s="23"/>
      <c r="BGI181" s="23"/>
      <c r="BGJ181" s="23"/>
      <c r="BGK181" s="23"/>
      <c r="BGL181" s="23"/>
      <c r="BGM181" s="23"/>
      <c r="BGN181" s="23"/>
      <c r="BGO181" s="23"/>
      <c r="BGP181" s="23"/>
      <c r="BGQ181" s="23"/>
      <c r="BGR181" s="23"/>
      <c r="BGS181" s="23"/>
      <c r="BGT181" s="23"/>
      <c r="BGU181" s="23"/>
      <c r="BGV181" s="23"/>
      <c r="BGW181" s="23"/>
      <c r="BGX181" s="23"/>
      <c r="BGY181" s="23"/>
      <c r="BGZ181" s="23"/>
      <c r="BHA181" s="23"/>
      <c r="BHB181" s="23"/>
      <c r="BHC181" s="23"/>
      <c r="BHD181" s="23"/>
      <c r="BHE181" s="23"/>
      <c r="BHF181" s="23"/>
      <c r="BHG181" s="23"/>
      <c r="BHH181" s="23"/>
      <c r="BHI181" s="23"/>
      <c r="BHJ181" s="23"/>
      <c r="BHK181" s="23"/>
      <c r="BHL181" s="23"/>
      <c r="BHM181" s="23"/>
      <c r="BHN181" s="23"/>
      <c r="BHO181" s="23"/>
      <c r="BHP181" s="23"/>
      <c r="BHQ181" s="23"/>
      <c r="BHR181" s="23"/>
      <c r="BHS181" s="23"/>
      <c r="BHT181" s="23"/>
      <c r="BHU181" s="23"/>
      <c r="BHV181" s="23"/>
      <c r="BHW181" s="23"/>
      <c r="BHX181" s="23"/>
      <c r="BHY181" s="23"/>
      <c r="BHZ181" s="23"/>
      <c r="BIA181" s="23"/>
      <c r="BIB181" s="23"/>
      <c r="BIC181" s="23"/>
      <c r="BID181" s="23"/>
      <c r="BIE181" s="23"/>
      <c r="BIF181" s="23"/>
      <c r="BIG181" s="23"/>
      <c r="BIH181" s="23"/>
      <c r="BII181" s="23"/>
      <c r="BIJ181" s="23"/>
      <c r="BIK181" s="23"/>
      <c r="BIL181" s="23"/>
      <c r="BIM181" s="23"/>
      <c r="BIN181" s="23"/>
      <c r="BIO181" s="23"/>
      <c r="BIP181" s="23"/>
      <c r="BIQ181" s="23"/>
      <c r="BIR181" s="23"/>
      <c r="BIS181" s="23"/>
      <c r="BIT181" s="23"/>
      <c r="BIU181" s="23"/>
      <c r="BIV181" s="23"/>
      <c r="BIW181" s="23"/>
      <c r="BIX181" s="23"/>
      <c r="BIY181" s="23"/>
      <c r="BIZ181" s="23"/>
      <c r="BJA181" s="23"/>
      <c r="BJB181" s="23"/>
      <c r="BJC181" s="23"/>
      <c r="BJD181" s="23"/>
      <c r="BJE181" s="23"/>
      <c r="BJF181" s="23"/>
      <c r="BJG181" s="23"/>
      <c r="BJH181" s="23"/>
      <c r="BJI181" s="23"/>
      <c r="BJJ181" s="23"/>
      <c r="BJK181" s="23"/>
      <c r="BJL181" s="23"/>
      <c r="BJM181" s="23"/>
      <c r="BJN181" s="23"/>
      <c r="BJO181" s="23"/>
      <c r="BJP181" s="23"/>
      <c r="BJQ181" s="23"/>
      <c r="BJR181" s="23"/>
      <c r="BJS181" s="23"/>
      <c r="BJT181" s="23"/>
      <c r="BJU181" s="23"/>
      <c r="BJV181" s="23"/>
      <c r="BJW181" s="23"/>
      <c r="BJX181" s="23"/>
      <c r="BJY181" s="23"/>
      <c r="BJZ181" s="23"/>
      <c r="BKA181" s="23"/>
      <c r="BKB181" s="23"/>
      <c r="BKC181" s="23"/>
      <c r="BKD181" s="23"/>
      <c r="BKE181" s="23"/>
      <c r="BKF181" s="23"/>
      <c r="BKG181" s="23"/>
      <c r="BKH181" s="23"/>
      <c r="BKI181" s="23"/>
      <c r="BKJ181" s="23"/>
      <c r="BKK181" s="23"/>
      <c r="BKL181" s="23"/>
      <c r="BKM181" s="23"/>
      <c r="BKN181" s="23"/>
      <c r="BKO181" s="23"/>
      <c r="BKP181" s="23"/>
      <c r="BKQ181" s="23"/>
      <c r="BKR181" s="23"/>
      <c r="BKS181" s="23"/>
      <c r="BKT181" s="23"/>
      <c r="BKU181" s="23"/>
      <c r="BKV181" s="23"/>
      <c r="BKW181" s="23"/>
      <c r="BKX181" s="23"/>
      <c r="BKY181" s="23"/>
      <c r="BKZ181" s="23"/>
      <c r="BLA181" s="23"/>
      <c r="BLB181" s="23"/>
      <c r="BLC181" s="23"/>
      <c r="BLD181" s="23"/>
      <c r="BLE181" s="23"/>
      <c r="BLF181" s="23"/>
      <c r="BLG181" s="23"/>
      <c r="BLH181" s="23"/>
      <c r="BLI181" s="23"/>
      <c r="BLJ181" s="23"/>
      <c r="BLK181" s="23"/>
      <c r="BLL181" s="23"/>
      <c r="BLM181" s="23"/>
      <c r="BLN181" s="23"/>
      <c r="BLO181" s="23"/>
      <c r="BLP181" s="23"/>
      <c r="BLQ181" s="23"/>
      <c r="BLR181" s="23"/>
      <c r="BLS181" s="23"/>
      <c r="BLT181" s="23"/>
      <c r="BLU181" s="23"/>
      <c r="BLV181" s="23"/>
      <c r="BLW181" s="23"/>
      <c r="BLX181" s="23"/>
      <c r="BLY181" s="23"/>
      <c r="BLZ181" s="23"/>
      <c r="BMA181" s="23"/>
      <c r="BMB181" s="23"/>
      <c r="BMC181" s="23"/>
      <c r="BMD181" s="23"/>
      <c r="BME181" s="23"/>
      <c r="BMF181" s="23"/>
      <c r="BMG181" s="23"/>
      <c r="BMH181" s="23"/>
      <c r="BMI181" s="23"/>
      <c r="BMJ181" s="23"/>
      <c r="BMK181" s="23"/>
      <c r="BML181" s="23"/>
      <c r="BMM181" s="23"/>
      <c r="BMN181" s="23"/>
      <c r="BMO181" s="23"/>
      <c r="BMP181" s="23"/>
      <c r="BMQ181" s="23"/>
      <c r="BMR181" s="23"/>
      <c r="BMS181" s="23"/>
      <c r="BMT181" s="23"/>
      <c r="BMU181" s="23"/>
      <c r="BMV181" s="23"/>
      <c r="BMW181" s="23"/>
      <c r="BMX181" s="23"/>
      <c r="BMY181" s="23"/>
      <c r="BMZ181" s="23"/>
      <c r="BNA181" s="23"/>
      <c r="BNB181" s="23"/>
      <c r="BNC181" s="23"/>
      <c r="BND181" s="23"/>
      <c r="BNE181" s="23"/>
      <c r="BNF181" s="23"/>
      <c r="BNG181" s="23"/>
      <c r="BNH181" s="23"/>
      <c r="BNI181" s="23"/>
      <c r="BNJ181" s="23"/>
      <c r="BNK181" s="23"/>
      <c r="BNL181" s="23"/>
      <c r="BNM181" s="23"/>
      <c r="BNN181" s="23"/>
      <c r="BNO181" s="23"/>
      <c r="BNP181" s="23"/>
      <c r="BNQ181" s="23"/>
      <c r="BNR181" s="23"/>
      <c r="BNS181" s="23"/>
      <c r="BNT181" s="23"/>
      <c r="BNU181" s="23"/>
      <c r="BNV181" s="23"/>
      <c r="BNW181" s="23"/>
      <c r="BNX181" s="23"/>
      <c r="BNY181" s="23"/>
      <c r="BNZ181" s="23"/>
      <c r="BOA181" s="23"/>
      <c r="BOB181" s="23"/>
      <c r="BOC181" s="23"/>
      <c r="BOD181" s="23"/>
      <c r="BOE181" s="23"/>
      <c r="BOF181" s="23"/>
      <c r="BOG181" s="23"/>
      <c r="BOH181" s="23"/>
      <c r="BOI181" s="23"/>
      <c r="BOJ181" s="23"/>
      <c r="BOK181" s="23"/>
      <c r="BOL181" s="23"/>
      <c r="BOM181" s="23"/>
      <c r="BON181" s="23"/>
      <c r="BOO181" s="23"/>
      <c r="BOP181" s="23"/>
      <c r="BOQ181" s="23"/>
      <c r="BOR181" s="23"/>
      <c r="BOS181" s="23"/>
      <c r="BOT181" s="23"/>
      <c r="BOU181" s="23"/>
      <c r="BOV181" s="23"/>
      <c r="BOW181" s="23"/>
      <c r="BOX181" s="23"/>
      <c r="BOY181" s="23"/>
      <c r="BOZ181" s="23"/>
      <c r="BPA181" s="23"/>
      <c r="BPB181" s="23"/>
      <c r="BPC181" s="23"/>
      <c r="BPD181" s="23"/>
      <c r="BPE181" s="23"/>
      <c r="BPF181" s="23"/>
      <c r="BPG181" s="23"/>
      <c r="BPH181" s="23"/>
      <c r="BPI181" s="23"/>
      <c r="BPJ181" s="23"/>
      <c r="BPK181" s="23"/>
      <c r="BPL181" s="23"/>
      <c r="BPM181" s="23"/>
      <c r="BPN181" s="23"/>
      <c r="BPO181" s="23"/>
      <c r="BPP181" s="23"/>
      <c r="BPQ181" s="23"/>
      <c r="BPR181" s="23"/>
      <c r="BPS181" s="23"/>
      <c r="BPT181" s="23"/>
      <c r="BPU181" s="23"/>
      <c r="BPV181" s="23"/>
      <c r="BPW181" s="23"/>
      <c r="BPX181" s="23"/>
      <c r="BPY181" s="23"/>
      <c r="BPZ181" s="23"/>
      <c r="BQA181" s="23"/>
      <c r="BQB181" s="23"/>
      <c r="BQC181" s="23"/>
      <c r="BQD181" s="23"/>
      <c r="BQE181" s="23"/>
      <c r="BQF181" s="23"/>
      <c r="BQG181" s="23"/>
      <c r="BQH181" s="23"/>
      <c r="BQI181" s="23"/>
      <c r="BQJ181" s="23"/>
      <c r="BQK181" s="23"/>
      <c r="BQL181" s="23"/>
      <c r="BQM181" s="23"/>
      <c r="BQN181" s="23"/>
      <c r="BQO181" s="23"/>
      <c r="BQP181" s="23"/>
      <c r="BQQ181" s="23"/>
      <c r="BQR181" s="23"/>
      <c r="BQS181" s="23"/>
      <c r="BQT181" s="23"/>
      <c r="BQU181" s="23"/>
      <c r="BQV181" s="23"/>
      <c r="BQW181" s="23"/>
      <c r="BQX181" s="23"/>
      <c r="BQY181" s="23"/>
      <c r="BQZ181" s="23"/>
      <c r="BRA181" s="23"/>
      <c r="BRB181" s="23"/>
      <c r="BRC181" s="23"/>
      <c r="BRD181" s="23"/>
      <c r="BRE181" s="23"/>
      <c r="BRF181" s="23"/>
      <c r="BRG181" s="23"/>
      <c r="BRH181" s="23"/>
      <c r="BRI181" s="23"/>
      <c r="BRJ181" s="23"/>
      <c r="BRK181" s="23"/>
      <c r="BRL181" s="23"/>
      <c r="BRM181" s="23"/>
      <c r="BRN181" s="23"/>
      <c r="BRO181" s="23"/>
      <c r="BRP181" s="23"/>
      <c r="BRQ181" s="23"/>
      <c r="BRR181" s="23"/>
      <c r="BRS181" s="23"/>
      <c r="BRT181" s="23"/>
      <c r="BRU181" s="23"/>
      <c r="BRV181" s="23"/>
      <c r="BRW181" s="23"/>
      <c r="BRX181" s="23"/>
      <c r="BRY181" s="23"/>
      <c r="BRZ181" s="23"/>
      <c r="BSA181" s="23"/>
      <c r="BSB181" s="23"/>
      <c r="BSC181" s="23"/>
      <c r="BSD181" s="23"/>
      <c r="BSE181" s="23"/>
      <c r="BSF181" s="23"/>
      <c r="BSG181" s="23"/>
      <c r="BSH181" s="23"/>
      <c r="BSI181" s="23"/>
      <c r="BSJ181" s="23"/>
      <c r="BSK181" s="23"/>
      <c r="BSL181" s="23"/>
      <c r="BSM181" s="23"/>
      <c r="BSN181" s="23"/>
      <c r="BSO181" s="23"/>
      <c r="BSP181" s="23"/>
      <c r="BSQ181" s="23"/>
      <c r="BSR181" s="23"/>
      <c r="BSS181" s="23"/>
      <c r="BST181" s="23"/>
      <c r="BSU181" s="23"/>
      <c r="BSV181" s="23"/>
      <c r="BSW181" s="23"/>
      <c r="BSX181" s="23"/>
      <c r="BSY181" s="23"/>
      <c r="BSZ181" s="23"/>
      <c r="BTA181" s="23"/>
      <c r="BTB181" s="23"/>
      <c r="BTC181" s="23"/>
      <c r="BTD181" s="23"/>
      <c r="BTE181" s="23"/>
      <c r="BTF181" s="23"/>
      <c r="BTG181" s="23"/>
      <c r="BTH181" s="23"/>
      <c r="BTI181" s="23"/>
      <c r="BTJ181" s="23"/>
      <c r="BTK181" s="23"/>
      <c r="BTL181" s="23"/>
      <c r="BTM181" s="23"/>
      <c r="BTN181" s="23"/>
      <c r="BTO181" s="23"/>
      <c r="BTP181" s="23"/>
      <c r="BTQ181" s="23"/>
      <c r="BTR181" s="23"/>
      <c r="BTS181" s="23"/>
      <c r="BTT181" s="23"/>
      <c r="BTU181" s="23"/>
      <c r="BTV181" s="23"/>
      <c r="BTW181" s="23"/>
      <c r="BTX181" s="23"/>
      <c r="BTY181" s="23"/>
      <c r="BTZ181" s="23"/>
      <c r="BUA181" s="23"/>
      <c r="BUB181" s="23"/>
      <c r="BUC181" s="23"/>
      <c r="BUD181" s="23"/>
      <c r="BUE181" s="23"/>
      <c r="BUF181" s="23"/>
      <c r="BUG181" s="23"/>
      <c r="BUH181" s="23"/>
      <c r="BUI181" s="23"/>
      <c r="BUJ181" s="23"/>
      <c r="BUK181" s="23"/>
      <c r="BUL181" s="23"/>
      <c r="BUM181" s="23"/>
      <c r="BUN181" s="23"/>
      <c r="BUO181" s="23"/>
      <c r="BUP181" s="23"/>
      <c r="BUQ181" s="23"/>
      <c r="BUR181" s="23"/>
      <c r="BUS181" s="23"/>
      <c r="BUT181" s="23"/>
      <c r="BUU181" s="23"/>
      <c r="BUV181" s="23"/>
      <c r="BUW181" s="23"/>
      <c r="BUX181" s="23"/>
      <c r="BUY181" s="23"/>
      <c r="BUZ181" s="23"/>
      <c r="BVA181" s="23"/>
      <c r="BVB181" s="23"/>
      <c r="BVC181" s="23"/>
      <c r="BVD181" s="23"/>
      <c r="BVE181" s="23"/>
      <c r="BVF181" s="23"/>
      <c r="BVG181" s="23"/>
      <c r="BVH181" s="23"/>
      <c r="BVI181" s="23"/>
      <c r="BVJ181" s="23"/>
      <c r="BVK181" s="23"/>
      <c r="BVL181" s="23"/>
      <c r="BVM181" s="23"/>
      <c r="BVN181" s="23"/>
      <c r="BVO181" s="23"/>
      <c r="BVP181" s="23"/>
      <c r="BVQ181" s="23"/>
      <c r="BVR181" s="23"/>
      <c r="BVS181" s="23"/>
      <c r="BVT181" s="23"/>
      <c r="BVU181" s="23"/>
      <c r="BVV181" s="23"/>
      <c r="BVW181" s="23"/>
      <c r="BVX181" s="23"/>
      <c r="BVY181" s="23"/>
      <c r="BVZ181" s="23"/>
      <c r="BWA181" s="23"/>
      <c r="BWB181" s="23"/>
      <c r="BWC181" s="23"/>
      <c r="BWD181" s="23"/>
      <c r="BWE181" s="23"/>
      <c r="BWF181" s="23"/>
      <c r="BWG181" s="23"/>
      <c r="BWH181" s="23"/>
      <c r="BWI181" s="23"/>
      <c r="BWJ181" s="23"/>
      <c r="BWK181" s="23"/>
      <c r="BWL181" s="23"/>
      <c r="BWM181" s="23"/>
      <c r="BWN181" s="23"/>
      <c r="BWO181" s="23"/>
      <c r="BWP181" s="23"/>
      <c r="BWQ181" s="23"/>
      <c r="BWR181" s="23"/>
      <c r="BWS181" s="23"/>
      <c r="BWT181" s="23"/>
      <c r="BWU181" s="23"/>
      <c r="BWV181" s="23"/>
      <c r="BWW181" s="23"/>
      <c r="BWX181" s="23"/>
      <c r="BWY181" s="23"/>
      <c r="BWZ181" s="23"/>
      <c r="BXA181" s="23"/>
      <c r="BXB181" s="23"/>
      <c r="BXC181" s="23"/>
      <c r="BXD181" s="23"/>
      <c r="BXE181" s="23"/>
      <c r="BXF181" s="23"/>
      <c r="BXG181" s="23"/>
      <c r="BXH181" s="23"/>
      <c r="BXI181" s="23"/>
      <c r="BXJ181" s="23"/>
      <c r="BXK181" s="23"/>
      <c r="BXL181" s="23"/>
      <c r="BXM181" s="23"/>
      <c r="BXN181" s="23"/>
      <c r="BXO181" s="23"/>
      <c r="BXP181" s="23"/>
      <c r="BXQ181" s="23"/>
      <c r="BXR181" s="23"/>
      <c r="BXS181" s="23"/>
      <c r="BXT181" s="23"/>
      <c r="BXU181" s="23"/>
      <c r="BXV181" s="23"/>
      <c r="BXW181" s="23"/>
      <c r="BXX181" s="23"/>
      <c r="BXY181" s="23"/>
      <c r="BXZ181" s="23"/>
      <c r="BYA181" s="23"/>
      <c r="BYB181" s="23"/>
      <c r="BYC181" s="23"/>
      <c r="BYD181" s="23"/>
      <c r="BYE181" s="23"/>
      <c r="BYF181" s="23"/>
      <c r="BYG181" s="23"/>
      <c r="BYH181" s="23"/>
      <c r="BYI181" s="23"/>
      <c r="BYJ181" s="23"/>
      <c r="BYK181" s="23"/>
      <c r="BYL181" s="23"/>
      <c r="BYM181" s="23"/>
      <c r="BYN181" s="23"/>
      <c r="BYO181" s="23"/>
      <c r="BYP181" s="23"/>
      <c r="BYQ181" s="23"/>
      <c r="BYR181" s="23"/>
      <c r="BYS181" s="23"/>
      <c r="BYT181" s="23"/>
      <c r="BYU181" s="23"/>
      <c r="BYV181" s="23"/>
      <c r="BYW181" s="23"/>
      <c r="BYX181" s="23"/>
      <c r="BYY181" s="23"/>
      <c r="BYZ181" s="23"/>
      <c r="BZA181" s="23"/>
      <c r="BZB181" s="23"/>
      <c r="BZC181" s="23"/>
      <c r="BZD181" s="23"/>
      <c r="BZE181" s="23"/>
      <c r="BZF181" s="23"/>
      <c r="BZG181" s="23"/>
      <c r="BZH181" s="23"/>
      <c r="BZI181" s="23"/>
      <c r="BZJ181" s="23"/>
      <c r="BZK181" s="23"/>
      <c r="BZL181" s="23"/>
      <c r="BZM181" s="23"/>
      <c r="BZN181" s="23"/>
      <c r="BZO181" s="23"/>
      <c r="BZP181" s="23"/>
      <c r="BZQ181" s="23"/>
      <c r="BZR181" s="23"/>
      <c r="BZS181" s="23"/>
      <c r="BZT181" s="23"/>
      <c r="BZU181" s="23"/>
      <c r="BZV181" s="23"/>
      <c r="BZW181" s="23"/>
      <c r="BZX181" s="23"/>
      <c r="BZY181" s="23"/>
      <c r="BZZ181" s="23"/>
      <c r="CAA181" s="23"/>
      <c r="CAB181" s="23"/>
      <c r="CAC181" s="23"/>
      <c r="CAD181" s="23"/>
      <c r="CAE181" s="23"/>
      <c r="CAF181" s="23"/>
      <c r="CAG181" s="23"/>
      <c r="CAH181" s="23"/>
      <c r="CAI181" s="23"/>
      <c r="CAJ181" s="23"/>
      <c r="CAK181" s="23"/>
      <c r="CAL181" s="23"/>
      <c r="CAM181" s="23"/>
      <c r="CAN181" s="23"/>
      <c r="CAO181" s="23"/>
      <c r="CAP181" s="23"/>
      <c r="CAQ181" s="23"/>
      <c r="CAR181" s="23"/>
      <c r="CAS181" s="23"/>
      <c r="CAT181" s="23"/>
      <c r="CAU181" s="23"/>
      <c r="CAV181" s="23"/>
      <c r="CAW181" s="23"/>
      <c r="CAX181" s="23"/>
      <c r="CAY181" s="23"/>
      <c r="CAZ181" s="23"/>
      <c r="CBA181" s="23"/>
      <c r="CBB181" s="23"/>
      <c r="CBC181" s="23"/>
      <c r="CBD181" s="23"/>
      <c r="CBE181" s="23"/>
      <c r="CBF181" s="23"/>
      <c r="CBG181" s="23"/>
      <c r="CBH181" s="23"/>
      <c r="CBI181" s="23"/>
      <c r="CBJ181" s="23"/>
      <c r="CBK181" s="23"/>
      <c r="CBL181" s="23"/>
      <c r="CBM181" s="23"/>
      <c r="CBN181" s="23"/>
      <c r="CBO181" s="23"/>
      <c r="CBP181" s="23"/>
      <c r="CBQ181" s="23"/>
      <c r="CBR181" s="23"/>
      <c r="CBS181" s="23"/>
      <c r="CBT181" s="23"/>
      <c r="CBU181" s="23"/>
      <c r="CBV181" s="23"/>
      <c r="CBW181" s="23"/>
      <c r="CBX181" s="23"/>
      <c r="CBY181" s="23"/>
      <c r="CBZ181" s="23"/>
      <c r="CCA181" s="23"/>
      <c r="CCB181" s="23"/>
      <c r="CCC181" s="23"/>
      <c r="CCD181" s="23"/>
      <c r="CCE181" s="23"/>
      <c r="CCF181" s="23"/>
      <c r="CCG181" s="23"/>
      <c r="CCH181" s="23"/>
      <c r="CCI181" s="23"/>
      <c r="CCJ181" s="23"/>
      <c r="CCK181" s="23"/>
      <c r="CCL181" s="23"/>
      <c r="CCM181" s="23"/>
      <c r="CCN181" s="23"/>
      <c r="CCO181" s="23"/>
      <c r="CCP181" s="23"/>
      <c r="CCQ181" s="23"/>
      <c r="CCR181" s="23"/>
      <c r="CCS181" s="23"/>
      <c r="CCT181" s="23"/>
      <c r="CCU181" s="23"/>
      <c r="CCV181" s="23"/>
      <c r="CCW181" s="23"/>
      <c r="CCX181" s="23"/>
      <c r="CCY181" s="23"/>
      <c r="CCZ181" s="23"/>
      <c r="CDA181" s="23"/>
      <c r="CDB181" s="23"/>
      <c r="CDC181" s="23"/>
      <c r="CDD181" s="23"/>
      <c r="CDE181" s="23"/>
      <c r="CDF181" s="23"/>
      <c r="CDG181" s="23"/>
      <c r="CDH181" s="23"/>
      <c r="CDI181" s="23"/>
      <c r="CDJ181" s="23"/>
      <c r="CDK181" s="23"/>
      <c r="CDL181" s="23"/>
      <c r="CDM181" s="23"/>
      <c r="CDN181" s="23"/>
      <c r="CDO181" s="23"/>
      <c r="CDP181" s="23"/>
      <c r="CDQ181" s="23"/>
      <c r="CDR181" s="23"/>
      <c r="CDS181" s="23"/>
      <c r="CDT181" s="23"/>
      <c r="CDU181" s="23"/>
      <c r="CDV181" s="23"/>
      <c r="CDW181" s="23"/>
      <c r="CDX181" s="23"/>
      <c r="CDY181" s="23"/>
      <c r="CDZ181" s="23"/>
      <c r="CEA181" s="23"/>
      <c r="CEB181" s="23"/>
      <c r="CEC181" s="23"/>
      <c r="CED181" s="23"/>
      <c r="CEE181" s="23"/>
      <c r="CEF181" s="23"/>
      <c r="CEG181" s="23"/>
      <c r="CEH181" s="23"/>
      <c r="CEI181" s="23"/>
      <c r="CEJ181" s="23"/>
      <c r="CEK181" s="23"/>
      <c r="CEL181" s="23"/>
      <c r="CEM181" s="23"/>
      <c r="CEN181" s="23"/>
      <c r="CEO181" s="23"/>
      <c r="CEP181" s="23"/>
      <c r="CEQ181" s="23"/>
      <c r="CER181" s="23"/>
      <c r="CES181" s="23"/>
      <c r="CET181" s="23"/>
      <c r="CEU181" s="23"/>
      <c r="CEV181" s="23"/>
      <c r="CEW181" s="23"/>
      <c r="CEX181" s="23"/>
      <c r="CEY181" s="23"/>
      <c r="CEZ181" s="23"/>
      <c r="CFA181" s="23"/>
      <c r="CFB181" s="23"/>
      <c r="CFC181" s="23"/>
      <c r="CFD181" s="23"/>
      <c r="CFE181" s="23"/>
      <c r="CFF181" s="23"/>
      <c r="CFG181" s="23"/>
      <c r="CFH181" s="23"/>
      <c r="CFI181" s="23"/>
      <c r="CFJ181" s="23"/>
      <c r="CFK181" s="23"/>
      <c r="CFL181" s="23"/>
      <c r="CFM181" s="23"/>
      <c r="CFN181" s="23"/>
      <c r="CFO181" s="23"/>
      <c r="CFP181" s="23"/>
      <c r="CFQ181" s="23"/>
      <c r="CFR181" s="23"/>
      <c r="CFS181" s="23"/>
      <c r="CFT181" s="23"/>
      <c r="CFU181" s="23"/>
      <c r="CFV181" s="23"/>
      <c r="CFW181" s="23"/>
      <c r="CFX181" s="23"/>
      <c r="CFY181" s="23"/>
      <c r="CFZ181" s="23"/>
      <c r="CGA181" s="23"/>
      <c r="CGB181" s="23"/>
      <c r="CGC181" s="23"/>
      <c r="CGD181" s="23"/>
      <c r="CGE181" s="23"/>
      <c r="CGF181" s="23"/>
      <c r="CGG181" s="23"/>
      <c r="CGH181" s="23"/>
      <c r="CGI181" s="23"/>
      <c r="CGJ181" s="23"/>
      <c r="CGK181" s="23"/>
      <c r="CGL181" s="23"/>
      <c r="CGM181" s="23"/>
      <c r="CGN181" s="23"/>
      <c r="CGO181" s="23"/>
      <c r="CGP181" s="23"/>
      <c r="CGQ181" s="23"/>
      <c r="CGR181" s="23"/>
      <c r="CGS181" s="23"/>
      <c r="CGT181" s="23"/>
      <c r="CGU181" s="23"/>
      <c r="CGV181" s="23"/>
      <c r="CGW181" s="23"/>
      <c r="CGX181" s="23"/>
      <c r="CGY181" s="23"/>
      <c r="CGZ181" s="23"/>
      <c r="CHA181" s="23"/>
      <c r="CHB181" s="23"/>
      <c r="CHC181" s="23"/>
      <c r="CHD181" s="23"/>
      <c r="CHE181" s="23"/>
      <c r="CHF181" s="23"/>
      <c r="CHG181" s="23"/>
      <c r="CHH181" s="23"/>
      <c r="CHI181" s="23"/>
      <c r="CHJ181" s="23"/>
      <c r="CHK181" s="23"/>
      <c r="CHL181" s="23"/>
      <c r="CHM181" s="23"/>
      <c r="CHN181" s="23"/>
      <c r="CHO181" s="23"/>
      <c r="CHP181" s="23"/>
      <c r="CHQ181" s="23"/>
      <c r="CHR181" s="23"/>
      <c r="CHS181" s="23"/>
      <c r="CHT181" s="23"/>
      <c r="CHU181" s="23"/>
      <c r="CHV181" s="23"/>
      <c r="CHW181" s="23"/>
      <c r="CHX181" s="23"/>
      <c r="CHY181" s="23"/>
      <c r="CHZ181" s="23"/>
      <c r="CIA181" s="23"/>
      <c r="CIB181" s="23"/>
      <c r="CIC181" s="23"/>
      <c r="CID181" s="23"/>
      <c r="CIE181" s="23"/>
      <c r="CIF181" s="23"/>
      <c r="CIG181" s="23"/>
      <c r="CIH181" s="23"/>
      <c r="CII181" s="23"/>
      <c r="CIJ181" s="23"/>
      <c r="CIK181" s="23"/>
      <c r="CIL181" s="23"/>
      <c r="CIM181" s="23"/>
      <c r="CIN181" s="23"/>
      <c r="CIO181" s="23"/>
      <c r="CIP181" s="23"/>
      <c r="CIQ181" s="23"/>
      <c r="CIR181" s="23"/>
      <c r="CIS181" s="23"/>
      <c r="CIT181" s="23"/>
      <c r="CIU181" s="23"/>
      <c r="CIV181" s="23"/>
      <c r="CIW181" s="23"/>
      <c r="CIX181" s="23"/>
      <c r="CIY181" s="23"/>
      <c r="CIZ181" s="23"/>
      <c r="CJA181" s="23"/>
      <c r="CJB181" s="23"/>
      <c r="CJC181" s="23"/>
      <c r="CJD181" s="23"/>
      <c r="CJE181" s="23"/>
      <c r="CJF181" s="23"/>
      <c r="CJG181" s="23"/>
      <c r="CJH181" s="23"/>
      <c r="CJI181" s="23"/>
      <c r="CJJ181" s="23"/>
      <c r="CJK181" s="23"/>
      <c r="CJL181" s="23"/>
      <c r="CJM181" s="23"/>
      <c r="CJN181" s="23"/>
      <c r="CJO181" s="23"/>
      <c r="CJP181" s="23"/>
      <c r="CJQ181" s="23"/>
      <c r="CJR181" s="23"/>
      <c r="CJS181" s="23"/>
      <c r="CJT181" s="23"/>
      <c r="CJU181" s="23"/>
      <c r="CJV181" s="23"/>
      <c r="CJW181" s="23"/>
      <c r="CJX181" s="23"/>
      <c r="CJY181" s="23"/>
      <c r="CJZ181" s="23"/>
      <c r="CKA181" s="23"/>
      <c r="CKB181" s="23"/>
      <c r="CKC181" s="23"/>
      <c r="CKD181" s="23"/>
      <c r="CKE181" s="23"/>
      <c r="CKF181" s="23"/>
      <c r="CKG181" s="23"/>
      <c r="CKH181" s="23"/>
      <c r="CKI181" s="23"/>
      <c r="CKJ181" s="23"/>
      <c r="CKK181" s="23"/>
      <c r="CKL181" s="23"/>
      <c r="CKM181" s="23"/>
      <c r="CKN181" s="23"/>
      <c r="CKO181" s="23"/>
      <c r="CKP181" s="23"/>
      <c r="CKQ181" s="23"/>
      <c r="CKR181" s="23"/>
      <c r="CKS181" s="23"/>
      <c r="CKT181" s="23"/>
      <c r="CKU181" s="23"/>
      <c r="CKV181" s="23"/>
      <c r="CKW181" s="23"/>
      <c r="CKX181" s="23"/>
      <c r="CKY181" s="23"/>
      <c r="CKZ181" s="23"/>
      <c r="CLA181" s="23"/>
      <c r="CLB181" s="23"/>
      <c r="CLC181" s="23"/>
      <c r="CLD181" s="23"/>
      <c r="CLE181" s="23"/>
      <c r="CLF181" s="23"/>
      <c r="CLG181" s="23"/>
      <c r="CLH181" s="23"/>
      <c r="CLI181" s="23"/>
      <c r="CLJ181" s="23"/>
      <c r="CLK181" s="23"/>
      <c r="CLL181" s="23"/>
      <c r="CLM181" s="23"/>
      <c r="CLN181" s="23"/>
      <c r="CLO181" s="23"/>
      <c r="CLP181" s="23"/>
      <c r="CLQ181" s="23"/>
      <c r="CLR181" s="23"/>
      <c r="CLS181" s="23"/>
      <c r="CLT181" s="23"/>
      <c r="CLU181" s="23"/>
      <c r="CLV181" s="23"/>
      <c r="CLW181" s="23"/>
      <c r="CLX181" s="23"/>
      <c r="CLY181" s="23"/>
      <c r="CLZ181" s="23"/>
      <c r="CMA181" s="23"/>
      <c r="CMB181" s="23"/>
      <c r="CMC181" s="23"/>
      <c r="CMD181" s="23"/>
      <c r="CME181" s="23"/>
      <c r="CMF181" s="23"/>
      <c r="CMG181" s="23"/>
      <c r="CMH181" s="23"/>
      <c r="CMI181" s="23"/>
      <c r="CMJ181" s="23"/>
      <c r="CMK181" s="23"/>
      <c r="CML181" s="23"/>
      <c r="CMM181" s="23"/>
      <c r="CMN181" s="23"/>
      <c r="CMO181" s="23"/>
      <c r="CMP181" s="23"/>
      <c r="CMQ181" s="23"/>
      <c r="CMR181" s="23"/>
      <c r="CMS181" s="23"/>
      <c r="CMT181" s="23"/>
      <c r="CMU181" s="23"/>
      <c r="CMV181" s="23"/>
      <c r="CMW181" s="23"/>
      <c r="CMX181" s="23"/>
      <c r="CMY181" s="23"/>
      <c r="CMZ181" s="23"/>
      <c r="CNA181" s="23"/>
      <c r="CNB181" s="23"/>
      <c r="CNC181" s="23"/>
      <c r="CND181" s="23"/>
      <c r="CNE181" s="23"/>
      <c r="CNF181" s="23"/>
      <c r="CNG181" s="23"/>
      <c r="CNH181" s="23"/>
      <c r="CNI181" s="23"/>
      <c r="CNJ181" s="23"/>
      <c r="CNK181" s="23"/>
      <c r="CNL181" s="23"/>
      <c r="CNM181" s="23"/>
      <c r="CNN181" s="23"/>
      <c r="CNO181" s="23"/>
      <c r="CNP181" s="23"/>
      <c r="CNQ181" s="23"/>
      <c r="CNR181" s="23"/>
      <c r="CNS181" s="23"/>
      <c r="CNT181" s="23"/>
      <c r="CNU181" s="23"/>
      <c r="CNV181" s="23"/>
      <c r="CNW181" s="23"/>
      <c r="CNX181" s="23"/>
      <c r="CNY181" s="23"/>
      <c r="CNZ181" s="23"/>
      <c r="COA181" s="23"/>
      <c r="COB181" s="23"/>
      <c r="COC181" s="23"/>
      <c r="COD181" s="23"/>
      <c r="COE181" s="23"/>
      <c r="COF181" s="23"/>
      <c r="COG181" s="23"/>
      <c r="COH181" s="23"/>
      <c r="COI181" s="23"/>
      <c r="COJ181" s="23"/>
      <c r="COK181" s="23"/>
      <c r="COL181" s="23"/>
      <c r="COM181" s="23"/>
      <c r="CON181" s="23"/>
      <c r="COO181" s="23"/>
      <c r="COP181" s="23"/>
      <c r="COQ181" s="23"/>
      <c r="COR181" s="23"/>
      <c r="COS181" s="23"/>
      <c r="COT181" s="23"/>
      <c r="COU181" s="23"/>
      <c r="COV181" s="23"/>
      <c r="COW181" s="23"/>
      <c r="COX181" s="23"/>
      <c r="COY181" s="23"/>
      <c r="COZ181" s="23"/>
      <c r="CPA181" s="23"/>
      <c r="CPB181" s="23"/>
      <c r="CPC181" s="23"/>
      <c r="CPD181" s="23"/>
      <c r="CPE181" s="23"/>
      <c r="CPF181" s="23"/>
      <c r="CPG181" s="23"/>
      <c r="CPH181" s="23"/>
      <c r="CPI181" s="23"/>
      <c r="CPJ181" s="23"/>
      <c r="CPK181" s="23"/>
      <c r="CPL181" s="23"/>
      <c r="CPM181" s="23"/>
      <c r="CPN181" s="23"/>
      <c r="CPO181" s="23"/>
      <c r="CPP181" s="23"/>
      <c r="CPQ181" s="23"/>
      <c r="CPR181" s="23"/>
      <c r="CPS181" s="23"/>
      <c r="CPT181" s="23"/>
      <c r="CPU181" s="23"/>
      <c r="CPV181" s="23"/>
      <c r="CPW181" s="23"/>
      <c r="CPX181" s="23"/>
      <c r="CPY181" s="23"/>
      <c r="CPZ181" s="23"/>
      <c r="CQA181" s="23"/>
      <c r="CQB181" s="23"/>
      <c r="CQC181" s="23"/>
      <c r="CQD181" s="23"/>
      <c r="CQE181" s="23"/>
      <c r="CQF181" s="23"/>
      <c r="CQG181" s="23"/>
      <c r="CQH181" s="23"/>
      <c r="CQI181" s="23"/>
      <c r="CQJ181" s="23"/>
      <c r="CQK181" s="23"/>
      <c r="CQL181" s="23"/>
      <c r="CQM181" s="23"/>
      <c r="CQN181" s="23"/>
      <c r="CQO181" s="23"/>
      <c r="CQP181" s="23"/>
      <c r="CQQ181" s="23"/>
      <c r="CQR181" s="23"/>
      <c r="CQS181" s="23"/>
      <c r="CQT181" s="23"/>
      <c r="CQU181" s="23"/>
      <c r="CQV181" s="23"/>
      <c r="CQW181" s="23"/>
      <c r="CQX181" s="23"/>
      <c r="CQY181" s="23"/>
      <c r="CQZ181" s="23"/>
      <c r="CRA181" s="23"/>
      <c r="CRB181" s="23"/>
      <c r="CRC181" s="23"/>
      <c r="CRD181" s="23"/>
      <c r="CRE181" s="23"/>
      <c r="CRF181" s="23"/>
      <c r="CRG181" s="23"/>
      <c r="CRH181" s="23"/>
      <c r="CRI181" s="23"/>
      <c r="CRJ181" s="23"/>
      <c r="CRK181" s="23"/>
      <c r="CRL181" s="23"/>
      <c r="CRM181" s="23"/>
      <c r="CRN181" s="23"/>
      <c r="CRO181" s="23"/>
      <c r="CRP181" s="23"/>
      <c r="CRQ181" s="23"/>
      <c r="CRR181" s="23"/>
      <c r="CRS181" s="23"/>
      <c r="CRT181" s="23"/>
      <c r="CRU181" s="23"/>
      <c r="CRV181" s="23"/>
      <c r="CRW181" s="23"/>
      <c r="CRX181" s="23"/>
      <c r="CRY181" s="23"/>
      <c r="CRZ181" s="23"/>
      <c r="CSA181" s="23"/>
      <c r="CSB181" s="23"/>
      <c r="CSC181" s="23"/>
      <c r="CSD181" s="23"/>
      <c r="CSE181" s="23"/>
      <c r="CSF181" s="23"/>
      <c r="CSG181" s="23"/>
      <c r="CSH181" s="23"/>
      <c r="CSI181" s="23"/>
      <c r="CSJ181" s="23"/>
      <c r="CSK181" s="23"/>
      <c r="CSL181" s="23"/>
      <c r="CSM181" s="23"/>
      <c r="CSN181" s="23"/>
      <c r="CSO181" s="23"/>
      <c r="CSP181" s="23"/>
      <c r="CSQ181" s="23"/>
      <c r="CSR181" s="23"/>
      <c r="CSS181" s="23"/>
      <c r="CST181" s="23"/>
      <c r="CSU181" s="23"/>
      <c r="CSV181" s="23"/>
      <c r="CSW181" s="23"/>
      <c r="CSX181" s="23"/>
      <c r="CSY181" s="23"/>
      <c r="CSZ181" s="23"/>
      <c r="CTA181" s="23"/>
      <c r="CTB181" s="23"/>
      <c r="CTC181" s="23"/>
      <c r="CTD181" s="23"/>
      <c r="CTE181" s="23"/>
      <c r="CTF181" s="23"/>
      <c r="CTG181" s="23"/>
      <c r="CTH181" s="23"/>
      <c r="CTI181" s="23"/>
      <c r="CTJ181" s="23"/>
      <c r="CTK181" s="23"/>
      <c r="CTL181" s="23"/>
      <c r="CTM181" s="23"/>
      <c r="CTN181" s="23"/>
      <c r="CTO181" s="23"/>
      <c r="CTP181" s="23"/>
      <c r="CTQ181" s="23"/>
      <c r="CTR181" s="23"/>
      <c r="CTS181" s="23"/>
      <c r="CTT181" s="23"/>
      <c r="CTU181" s="23"/>
      <c r="CTV181" s="23"/>
      <c r="CTW181" s="23"/>
      <c r="CTX181" s="23"/>
      <c r="CTY181" s="23"/>
      <c r="CTZ181" s="23"/>
      <c r="CUA181" s="23"/>
      <c r="CUB181" s="23"/>
      <c r="CUC181" s="23"/>
      <c r="CUD181" s="23"/>
      <c r="CUE181" s="23"/>
      <c r="CUF181" s="23"/>
      <c r="CUG181" s="23"/>
      <c r="CUH181" s="23"/>
      <c r="CUI181" s="23"/>
      <c r="CUJ181" s="23"/>
      <c r="CUK181" s="23"/>
      <c r="CUL181" s="23"/>
      <c r="CUM181" s="23"/>
      <c r="CUN181" s="23"/>
      <c r="CUO181" s="23"/>
      <c r="CUP181" s="23"/>
      <c r="CUQ181" s="23"/>
      <c r="CUR181" s="23"/>
      <c r="CUS181" s="23"/>
      <c r="CUT181" s="23"/>
      <c r="CUU181" s="23"/>
      <c r="CUV181" s="23"/>
      <c r="CUW181" s="23"/>
      <c r="CUX181" s="23"/>
      <c r="CUY181" s="23"/>
      <c r="CUZ181" s="23"/>
      <c r="CVA181" s="23"/>
      <c r="CVB181" s="23"/>
      <c r="CVC181" s="23"/>
      <c r="CVD181" s="23"/>
      <c r="CVE181" s="23"/>
      <c r="CVF181" s="23"/>
      <c r="CVG181" s="23"/>
      <c r="CVH181" s="23"/>
      <c r="CVI181" s="23"/>
      <c r="CVJ181" s="23"/>
      <c r="CVK181" s="23"/>
      <c r="CVL181" s="23"/>
      <c r="CVM181" s="23"/>
      <c r="CVN181" s="23"/>
      <c r="CVO181" s="23"/>
      <c r="CVP181" s="23"/>
      <c r="CVQ181" s="23"/>
      <c r="CVR181" s="23"/>
      <c r="CVS181" s="23"/>
      <c r="CVT181" s="23"/>
      <c r="CVU181" s="23"/>
      <c r="CVV181" s="23"/>
      <c r="CVW181" s="23"/>
      <c r="CVX181" s="23"/>
      <c r="CVY181" s="23"/>
      <c r="CVZ181" s="23"/>
      <c r="CWA181" s="23"/>
      <c r="CWB181" s="23"/>
      <c r="CWC181" s="23"/>
      <c r="CWD181" s="23"/>
      <c r="CWE181" s="23"/>
      <c r="CWF181" s="23"/>
      <c r="CWG181" s="23"/>
      <c r="CWH181" s="23"/>
      <c r="CWI181" s="23"/>
      <c r="CWJ181" s="23"/>
      <c r="CWK181" s="23"/>
      <c r="CWL181" s="23"/>
      <c r="CWM181" s="23"/>
      <c r="CWN181" s="23"/>
      <c r="CWO181" s="23"/>
      <c r="CWP181" s="23"/>
      <c r="CWQ181" s="23"/>
      <c r="CWR181" s="23"/>
      <c r="CWS181" s="23"/>
      <c r="CWT181" s="23"/>
      <c r="CWU181" s="23"/>
      <c r="CWV181" s="23"/>
      <c r="CWW181" s="23"/>
      <c r="CWX181" s="23"/>
      <c r="CWY181" s="23"/>
      <c r="CWZ181" s="23"/>
      <c r="CXA181" s="23"/>
      <c r="CXB181" s="23"/>
      <c r="CXC181" s="23"/>
      <c r="CXD181" s="23"/>
      <c r="CXE181" s="23"/>
      <c r="CXF181" s="23"/>
      <c r="CXG181" s="23"/>
      <c r="CXH181" s="23"/>
      <c r="CXI181" s="23"/>
      <c r="CXJ181" s="23"/>
      <c r="CXK181" s="23"/>
      <c r="CXL181" s="23"/>
      <c r="CXM181" s="23"/>
      <c r="CXN181" s="23"/>
      <c r="CXO181" s="23"/>
      <c r="CXP181" s="23"/>
      <c r="CXQ181" s="23"/>
      <c r="CXR181" s="23"/>
      <c r="CXS181" s="23"/>
      <c r="CXT181" s="23"/>
      <c r="CXU181" s="23"/>
      <c r="CXV181" s="23"/>
      <c r="CXW181" s="23"/>
      <c r="CXX181" s="23"/>
      <c r="CXY181" s="23"/>
      <c r="CXZ181" s="23"/>
      <c r="CYA181" s="23"/>
      <c r="CYB181" s="23"/>
      <c r="CYC181" s="23"/>
      <c r="CYD181" s="23"/>
      <c r="CYE181" s="23"/>
      <c r="CYF181" s="23"/>
      <c r="CYG181" s="23"/>
      <c r="CYH181" s="23"/>
      <c r="CYI181" s="23"/>
      <c r="CYJ181" s="23"/>
      <c r="CYK181" s="23"/>
      <c r="CYL181" s="23"/>
      <c r="CYM181" s="23"/>
      <c r="CYN181" s="23"/>
      <c r="CYO181" s="23"/>
      <c r="CYP181" s="23"/>
      <c r="CYQ181" s="23"/>
      <c r="CYR181" s="23"/>
      <c r="CYS181" s="23"/>
      <c r="CYT181" s="23"/>
      <c r="CYU181" s="23"/>
      <c r="CYV181" s="23"/>
      <c r="CYW181" s="23"/>
      <c r="CYX181" s="23"/>
      <c r="CYY181" s="23"/>
      <c r="CYZ181" s="23"/>
      <c r="CZA181" s="23"/>
      <c r="CZB181" s="23"/>
      <c r="CZC181" s="23"/>
      <c r="CZD181" s="23"/>
      <c r="CZE181" s="23"/>
      <c r="CZF181" s="23"/>
      <c r="CZG181" s="23"/>
      <c r="CZH181" s="23"/>
      <c r="CZI181" s="23"/>
      <c r="CZJ181" s="23"/>
      <c r="CZK181" s="23"/>
      <c r="CZL181" s="23"/>
      <c r="CZM181" s="23"/>
      <c r="CZN181" s="23"/>
      <c r="CZO181" s="23"/>
      <c r="CZP181" s="23"/>
      <c r="CZQ181" s="23"/>
      <c r="CZR181" s="23"/>
      <c r="CZS181" s="23"/>
      <c r="CZT181" s="23"/>
      <c r="CZU181" s="23"/>
      <c r="CZV181" s="23"/>
      <c r="CZW181" s="23"/>
      <c r="CZX181" s="23"/>
      <c r="CZY181" s="23"/>
      <c r="CZZ181" s="23"/>
      <c r="DAA181" s="23"/>
      <c r="DAB181" s="23"/>
      <c r="DAC181" s="23"/>
      <c r="DAD181" s="23"/>
      <c r="DAE181" s="23"/>
      <c r="DAF181" s="23"/>
      <c r="DAG181" s="23"/>
      <c r="DAH181" s="23"/>
      <c r="DAI181" s="23"/>
      <c r="DAJ181" s="23"/>
      <c r="DAK181" s="23"/>
      <c r="DAL181" s="23"/>
      <c r="DAM181" s="23"/>
      <c r="DAN181" s="23"/>
      <c r="DAO181" s="23"/>
      <c r="DAP181" s="23"/>
      <c r="DAQ181" s="23"/>
      <c r="DAR181" s="23"/>
      <c r="DAS181" s="23"/>
      <c r="DAT181" s="23"/>
      <c r="DAU181" s="23"/>
      <c r="DAV181" s="23"/>
      <c r="DAW181" s="23"/>
      <c r="DAX181" s="23"/>
      <c r="DAY181" s="23"/>
      <c r="DAZ181" s="23"/>
      <c r="DBA181" s="23"/>
      <c r="DBB181" s="23"/>
      <c r="DBC181" s="23"/>
      <c r="DBD181" s="23"/>
      <c r="DBE181" s="23"/>
      <c r="DBF181" s="23"/>
      <c r="DBG181" s="23"/>
      <c r="DBH181" s="23"/>
      <c r="DBI181" s="23"/>
      <c r="DBJ181" s="23"/>
      <c r="DBK181" s="23"/>
      <c r="DBL181" s="23"/>
      <c r="DBM181" s="23"/>
      <c r="DBN181" s="23"/>
      <c r="DBO181" s="23"/>
      <c r="DBP181" s="23"/>
      <c r="DBQ181" s="23"/>
      <c r="DBR181" s="23"/>
      <c r="DBS181" s="23"/>
      <c r="DBT181" s="23"/>
      <c r="DBU181" s="23"/>
      <c r="DBV181" s="23"/>
      <c r="DBW181" s="23"/>
      <c r="DBX181" s="23"/>
      <c r="DBY181" s="23"/>
      <c r="DBZ181" s="23"/>
      <c r="DCA181" s="23"/>
      <c r="DCB181" s="23"/>
      <c r="DCC181" s="23"/>
      <c r="DCD181" s="23"/>
      <c r="DCE181" s="23"/>
      <c r="DCF181" s="23"/>
      <c r="DCG181" s="23"/>
      <c r="DCH181" s="23"/>
      <c r="DCI181" s="23"/>
      <c r="DCJ181" s="23"/>
      <c r="DCK181" s="23"/>
      <c r="DCL181" s="23"/>
      <c r="DCM181" s="23"/>
      <c r="DCN181" s="23"/>
      <c r="DCO181" s="23"/>
      <c r="DCP181" s="23"/>
      <c r="DCQ181" s="23"/>
      <c r="DCR181" s="23"/>
      <c r="DCS181" s="23"/>
      <c r="DCT181" s="23"/>
      <c r="DCU181" s="23"/>
      <c r="DCV181" s="23"/>
      <c r="DCW181" s="23"/>
      <c r="DCX181" s="23"/>
      <c r="DCY181" s="23"/>
      <c r="DCZ181" s="23"/>
      <c r="DDA181" s="23"/>
      <c r="DDB181" s="23"/>
      <c r="DDC181" s="23"/>
      <c r="DDD181" s="23"/>
      <c r="DDE181" s="23"/>
      <c r="DDF181" s="23"/>
      <c r="DDG181" s="23"/>
      <c r="DDH181" s="23"/>
      <c r="DDI181" s="23"/>
      <c r="DDJ181" s="23"/>
      <c r="DDK181" s="23"/>
      <c r="DDL181" s="23"/>
      <c r="DDM181" s="23"/>
      <c r="DDN181" s="23"/>
      <c r="DDO181" s="23"/>
      <c r="DDP181" s="23"/>
      <c r="DDQ181" s="23"/>
      <c r="DDR181" s="23"/>
      <c r="DDS181" s="23"/>
      <c r="DDT181" s="23"/>
      <c r="DDU181" s="23"/>
      <c r="DDV181" s="23"/>
      <c r="DDW181" s="23"/>
      <c r="DDX181" s="23"/>
      <c r="DDY181" s="23"/>
      <c r="DDZ181" s="23"/>
      <c r="DEA181" s="23"/>
      <c r="DEB181" s="23"/>
      <c r="DEC181" s="23"/>
      <c r="DED181" s="23"/>
      <c r="DEE181" s="23"/>
      <c r="DEF181" s="23"/>
      <c r="DEG181" s="23"/>
      <c r="DEH181" s="23"/>
      <c r="DEI181" s="23"/>
      <c r="DEJ181" s="23"/>
      <c r="DEK181" s="23"/>
      <c r="DEL181" s="23"/>
      <c r="DEM181" s="23"/>
      <c r="DEN181" s="23"/>
      <c r="DEO181" s="23"/>
      <c r="DEP181" s="23"/>
      <c r="DEQ181" s="23"/>
      <c r="DER181" s="23"/>
      <c r="DES181" s="23"/>
      <c r="DET181" s="23"/>
      <c r="DEU181" s="23"/>
      <c r="DEV181" s="23"/>
      <c r="DEW181" s="23"/>
      <c r="DEX181" s="23"/>
      <c r="DEY181" s="23"/>
      <c r="DEZ181" s="23"/>
      <c r="DFA181" s="23"/>
      <c r="DFB181" s="23"/>
      <c r="DFC181" s="23"/>
      <c r="DFD181" s="23"/>
      <c r="DFE181" s="23"/>
      <c r="DFF181" s="23"/>
      <c r="DFG181" s="23"/>
      <c r="DFH181" s="23"/>
      <c r="DFI181" s="23"/>
      <c r="DFJ181" s="23"/>
      <c r="DFK181" s="23"/>
      <c r="DFL181" s="23"/>
      <c r="DFM181" s="23"/>
      <c r="DFN181" s="23"/>
      <c r="DFO181" s="23"/>
      <c r="DFP181" s="23"/>
      <c r="DFQ181" s="23"/>
      <c r="DFR181" s="23"/>
      <c r="DFS181" s="23"/>
      <c r="DFT181" s="23"/>
      <c r="DFU181" s="23"/>
      <c r="DFV181" s="23"/>
      <c r="DFW181" s="23"/>
      <c r="DFX181" s="23"/>
      <c r="DFY181" s="23"/>
      <c r="DFZ181" s="23"/>
      <c r="DGA181" s="23"/>
      <c r="DGB181" s="23"/>
      <c r="DGC181" s="23"/>
      <c r="DGD181" s="23"/>
      <c r="DGE181" s="23"/>
      <c r="DGF181" s="23"/>
      <c r="DGG181" s="23"/>
      <c r="DGH181" s="23"/>
      <c r="DGI181" s="23"/>
      <c r="DGJ181" s="23"/>
      <c r="DGK181" s="23"/>
      <c r="DGL181" s="23"/>
      <c r="DGM181" s="23"/>
      <c r="DGN181" s="23"/>
      <c r="DGO181" s="23"/>
      <c r="DGP181" s="23"/>
      <c r="DGQ181" s="23"/>
      <c r="DGR181" s="23"/>
      <c r="DGS181" s="23"/>
      <c r="DGT181" s="23"/>
      <c r="DGU181" s="23"/>
      <c r="DGV181" s="23"/>
      <c r="DGW181" s="23"/>
      <c r="DGX181" s="23"/>
      <c r="DGY181" s="23"/>
      <c r="DGZ181" s="23"/>
      <c r="DHA181" s="23"/>
      <c r="DHB181" s="23"/>
      <c r="DHC181" s="23"/>
      <c r="DHD181" s="23"/>
      <c r="DHE181" s="23"/>
      <c r="DHF181" s="23"/>
      <c r="DHG181" s="23"/>
      <c r="DHH181" s="23"/>
      <c r="DHI181" s="23"/>
      <c r="DHJ181" s="23"/>
      <c r="DHK181" s="23"/>
      <c r="DHL181" s="23"/>
      <c r="DHM181" s="23"/>
      <c r="DHN181" s="23"/>
      <c r="DHO181" s="23"/>
      <c r="DHP181" s="23"/>
      <c r="DHQ181" s="23"/>
      <c r="DHR181" s="23"/>
      <c r="DHS181" s="23"/>
      <c r="DHT181" s="23"/>
      <c r="DHU181" s="23"/>
      <c r="DHV181" s="23"/>
      <c r="DHW181" s="23"/>
      <c r="DHX181" s="23"/>
      <c r="DHY181" s="23"/>
      <c r="DHZ181" s="23"/>
      <c r="DIA181" s="23"/>
      <c r="DIB181" s="23"/>
      <c r="DIC181" s="23"/>
      <c r="DID181" s="23"/>
      <c r="DIE181" s="23"/>
      <c r="DIF181" s="23"/>
      <c r="DIG181" s="23"/>
      <c r="DIH181" s="23"/>
      <c r="DII181" s="23"/>
      <c r="DIJ181" s="23"/>
      <c r="DIK181" s="23"/>
      <c r="DIL181" s="23"/>
      <c r="DIM181" s="23"/>
      <c r="DIN181" s="23"/>
      <c r="DIO181" s="23"/>
      <c r="DIP181" s="23"/>
      <c r="DIQ181" s="23"/>
      <c r="DIR181" s="23"/>
      <c r="DIS181" s="23"/>
      <c r="DIT181" s="23"/>
      <c r="DIU181" s="23"/>
      <c r="DIV181" s="23"/>
      <c r="DIW181" s="23"/>
      <c r="DIX181" s="23"/>
      <c r="DIY181" s="23"/>
      <c r="DIZ181" s="23"/>
      <c r="DJA181" s="23"/>
      <c r="DJB181" s="23"/>
      <c r="DJC181" s="23"/>
      <c r="DJD181" s="23"/>
      <c r="DJE181" s="23"/>
      <c r="DJF181" s="23"/>
      <c r="DJG181" s="23"/>
      <c r="DJH181" s="23"/>
      <c r="DJI181" s="23"/>
      <c r="DJJ181" s="23"/>
      <c r="DJK181" s="23"/>
      <c r="DJL181" s="23"/>
      <c r="DJM181" s="23"/>
      <c r="DJN181" s="23"/>
      <c r="DJO181" s="23"/>
      <c r="DJP181" s="23"/>
      <c r="DJQ181" s="23"/>
      <c r="DJR181" s="23"/>
      <c r="DJS181" s="23"/>
      <c r="DJT181" s="23"/>
      <c r="DJU181" s="23"/>
      <c r="DJV181" s="23"/>
      <c r="DJW181" s="23"/>
      <c r="DJX181" s="23"/>
      <c r="DJY181" s="23"/>
      <c r="DJZ181" s="23"/>
      <c r="DKA181" s="23"/>
      <c r="DKB181" s="23"/>
      <c r="DKC181" s="23"/>
      <c r="DKD181" s="23"/>
      <c r="DKE181" s="23"/>
      <c r="DKF181" s="23"/>
      <c r="DKG181" s="23"/>
      <c r="DKH181" s="23"/>
      <c r="DKI181" s="23"/>
      <c r="DKJ181" s="23"/>
      <c r="DKK181" s="23"/>
      <c r="DKL181" s="23"/>
      <c r="DKM181" s="23"/>
      <c r="DKN181" s="23"/>
      <c r="DKO181" s="23"/>
      <c r="DKP181" s="23"/>
      <c r="DKQ181" s="23"/>
      <c r="DKR181" s="23"/>
      <c r="DKS181" s="23"/>
      <c r="DKT181" s="23"/>
      <c r="DKU181" s="23"/>
      <c r="DKV181" s="23"/>
      <c r="DKW181" s="23"/>
      <c r="DKX181" s="23"/>
      <c r="DKY181" s="23"/>
      <c r="DKZ181" s="23"/>
      <c r="DLA181" s="23"/>
      <c r="DLB181" s="23"/>
      <c r="DLC181" s="23"/>
      <c r="DLD181" s="23"/>
      <c r="DLE181" s="23"/>
      <c r="DLF181" s="23"/>
      <c r="DLG181" s="23"/>
      <c r="DLH181" s="23"/>
      <c r="DLI181" s="23"/>
      <c r="DLJ181" s="23"/>
      <c r="DLK181" s="23"/>
      <c r="DLL181" s="23"/>
      <c r="DLM181" s="23"/>
      <c r="DLN181" s="23"/>
      <c r="DLO181" s="23"/>
      <c r="DLP181" s="23"/>
      <c r="DLQ181" s="23"/>
      <c r="DLR181" s="23"/>
      <c r="DLS181" s="23"/>
      <c r="DLT181" s="23"/>
      <c r="DLU181" s="23"/>
      <c r="DLV181" s="23"/>
      <c r="DLW181" s="23"/>
      <c r="DLX181" s="23"/>
      <c r="DLY181" s="23"/>
      <c r="DLZ181" s="23"/>
      <c r="DMA181" s="23"/>
      <c r="DMB181" s="23"/>
      <c r="DMC181" s="23"/>
      <c r="DMD181" s="23"/>
      <c r="DME181" s="23"/>
      <c r="DMF181" s="23"/>
      <c r="DMG181" s="23"/>
      <c r="DMH181" s="23"/>
      <c r="DMI181" s="23"/>
      <c r="DMJ181" s="23"/>
      <c r="DMK181" s="23"/>
      <c r="DML181" s="23"/>
      <c r="DMM181" s="23"/>
      <c r="DMN181" s="23"/>
      <c r="DMO181" s="23"/>
      <c r="DMP181" s="23"/>
      <c r="DMQ181" s="23"/>
      <c r="DMR181" s="23"/>
      <c r="DMS181" s="23"/>
      <c r="DMT181" s="23"/>
      <c r="DMU181" s="23"/>
      <c r="DMV181" s="23"/>
      <c r="DMW181" s="23"/>
      <c r="DMX181" s="23"/>
      <c r="DMY181" s="23"/>
      <c r="DMZ181" s="23"/>
      <c r="DNA181" s="23"/>
      <c r="DNB181" s="23"/>
      <c r="DNC181" s="23"/>
      <c r="DND181" s="23"/>
      <c r="DNE181" s="23"/>
      <c r="DNF181" s="23"/>
      <c r="DNG181" s="23"/>
      <c r="DNH181" s="23"/>
      <c r="DNI181" s="23"/>
      <c r="DNJ181" s="23"/>
      <c r="DNK181" s="23"/>
      <c r="DNL181" s="23"/>
      <c r="DNM181" s="23"/>
      <c r="DNN181" s="23"/>
      <c r="DNO181" s="23"/>
      <c r="DNP181" s="23"/>
      <c r="DNQ181" s="23"/>
      <c r="DNR181" s="23"/>
      <c r="DNS181" s="23"/>
      <c r="DNT181" s="23"/>
      <c r="DNU181" s="23"/>
      <c r="DNV181" s="23"/>
      <c r="DNW181" s="23"/>
      <c r="DNX181" s="23"/>
      <c r="DNY181" s="23"/>
      <c r="DNZ181" s="23"/>
      <c r="DOA181" s="23"/>
      <c r="DOB181" s="23"/>
      <c r="DOC181" s="23"/>
      <c r="DOD181" s="23"/>
      <c r="DOE181" s="23"/>
      <c r="DOF181" s="23"/>
      <c r="DOG181" s="23"/>
      <c r="DOH181" s="23"/>
      <c r="DOI181" s="23"/>
      <c r="DOJ181" s="23"/>
      <c r="DOK181" s="23"/>
      <c r="DOL181" s="23"/>
      <c r="DOM181" s="23"/>
      <c r="DON181" s="23"/>
      <c r="DOO181" s="23"/>
      <c r="DOP181" s="23"/>
      <c r="DOQ181" s="23"/>
      <c r="DOR181" s="23"/>
      <c r="DOS181" s="23"/>
      <c r="DOT181" s="23"/>
      <c r="DOU181" s="23"/>
      <c r="DOV181" s="23"/>
      <c r="DOW181" s="23"/>
      <c r="DOX181" s="23"/>
      <c r="DOY181" s="23"/>
      <c r="DOZ181" s="23"/>
      <c r="DPA181" s="23"/>
      <c r="DPB181" s="23"/>
      <c r="DPC181" s="23"/>
      <c r="DPD181" s="23"/>
      <c r="DPE181" s="23"/>
      <c r="DPF181" s="23"/>
      <c r="DPG181" s="23"/>
      <c r="DPH181" s="23"/>
      <c r="DPI181" s="23"/>
      <c r="DPJ181" s="23"/>
      <c r="DPK181" s="23"/>
      <c r="DPL181" s="23"/>
      <c r="DPM181" s="23"/>
      <c r="DPN181" s="23"/>
      <c r="DPO181" s="23"/>
      <c r="DPP181" s="23"/>
      <c r="DPQ181" s="23"/>
      <c r="DPR181" s="23"/>
      <c r="DPS181" s="23"/>
      <c r="DPT181" s="23"/>
      <c r="DPU181" s="23"/>
      <c r="DPV181" s="23"/>
      <c r="DPW181" s="23"/>
      <c r="DPX181" s="23"/>
      <c r="DPY181" s="23"/>
      <c r="DPZ181" s="23"/>
      <c r="DQA181" s="23"/>
      <c r="DQB181" s="23"/>
      <c r="DQC181" s="23"/>
      <c r="DQD181" s="23"/>
      <c r="DQE181" s="23"/>
      <c r="DQF181" s="23"/>
      <c r="DQG181" s="23"/>
      <c r="DQH181" s="23"/>
      <c r="DQI181" s="23"/>
      <c r="DQJ181" s="23"/>
      <c r="DQK181" s="23"/>
      <c r="DQL181" s="23"/>
      <c r="DQM181" s="23"/>
      <c r="DQN181" s="23"/>
      <c r="DQO181" s="23"/>
      <c r="DQP181" s="23"/>
      <c r="DQQ181" s="23"/>
      <c r="DQR181" s="23"/>
      <c r="DQS181" s="23"/>
      <c r="DQT181" s="23"/>
      <c r="DQU181" s="23"/>
      <c r="DQV181" s="23"/>
      <c r="DQW181" s="23"/>
      <c r="DQX181" s="23"/>
      <c r="DQY181" s="23"/>
      <c r="DQZ181" s="23"/>
      <c r="DRA181" s="23"/>
      <c r="DRB181" s="23"/>
      <c r="DRC181" s="23"/>
      <c r="DRD181" s="23"/>
      <c r="DRE181" s="23"/>
      <c r="DRF181" s="23"/>
      <c r="DRG181" s="23"/>
      <c r="DRH181" s="23"/>
      <c r="DRI181" s="23"/>
      <c r="DRJ181" s="23"/>
      <c r="DRK181" s="23"/>
      <c r="DRL181" s="23"/>
      <c r="DRM181" s="23"/>
      <c r="DRN181" s="23"/>
      <c r="DRO181" s="23"/>
      <c r="DRP181" s="23"/>
      <c r="DRQ181" s="23"/>
      <c r="DRR181" s="23"/>
      <c r="DRS181" s="23"/>
      <c r="DRT181" s="23"/>
      <c r="DRU181" s="23"/>
      <c r="DRV181" s="23"/>
      <c r="DRW181" s="23"/>
      <c r="DRX181" s="23"/>
      <c r="DRY181" s="23"/>
      <c r="DRZ181" s="23"/>
      <c r="DSA181" s="23"/>
      <c r="DSB181" s="23"/>
      <c r="DSC181" s="23"/>
      <c r="DSD181" s="23"/>
      <c r="DSE181" s="23"/>
      <c r="DSF181" s="23"/>
      <c r="DSG181" s="23"/>
      <c r="DSH181" s="23"/>
      <c r="DSI181" s="23"/>
      <c r="DSJ181" s="23"/>
      <c r="DSK181" s="23"/>
      <c r="DSL181" s="23"/>
      <c r="DSM181" s="23"/>
      <c r="DSN181" s="23"/>
      <c r="DSO181" s="23"/>
      <c r="DSP181" s="23"/>
      <c r="DSQ181" s="23"/>
      <c r="DSR181" s="23"/>
      <c r="DSS181" s="23"/>
      <c r="DST181" s="23"/>
      <c r="DSU181" s="23"/>
      <c r="DSV181" s="23"/>
      <c r="DSW181" s="23"/>
      <c r="DSX181" s="23"/>
      <c r="DSY181" s="23"/>
      <c r="DSZ181" s="23"/>
      <c r="DTA181" s="23"/>
      <c r="DTB181" s="23"/>
      <c r="DTC181" s="23"/>
      <c r="DTD181" s="23"/>
      <c r="DTE181" s="23"/>
      <c r="DTF181" s="23"/>
      <c r="DTG181" s="23"/>
      <c r="DTH181" s="23"/>
      <c r="DTI181" s="23"/>
      <c r="DTJ181" s="23"/>
      <c r="DTK181" s="23"/>
      <c r="DTL181" s="23"/>
      <c r="DTM181" s="23"/>
      <c r="DTN181" s="23"/>
      <c r="DTO181" s="23"/>
      <c r="DTP181" s="23"/>
      <c r="DTQ181" s="23"/>
      <c r="DTR181" s="23"/>
      <c r="DTS181" s="23"/>
      <c r="DTT181" s="23"/>
      <c r="DTU181" s="23"/>
      <c r="DTV181" s="23"/>
      <c r="DTW181" s="23"/>
      <c r="DTX181" s="23"/>
      <c r="DTY181" s="23"/>
      <c r="DTZ181" s="23"/>
      <c r="DUA181" s="23"/>
      <c r="DUB181" s="23"/>
      <c r="DUC181" s="23"/>
      <c r="DUD181" s="23"/>
      <c r="DUE181" s="23"/>
      <c r="DUF181" s="23"/>
      <c r="DUG181" s="23"/>
      <c r="DUH181" s="23"/>
      <c r="DUI181" s="23"/>
      <c r="DUJ181" s="23"/>
      <c r="DUK181" s="23"/>
      <c r="DUL181" s="23"/>
      <c r="DUM181" s="23"/>
      <c r="DUN181" s="23"/>
      <c r="DUO181" s="23"/>
      <c r="DUP181" s="23"/>
      <c r="DUQ181" s="23"/>
      <c r="DUR181" s="23"/>
      <c r="DUS181" s="23"/>
      <c r="DUT181" s="23"/>
      <c r="DUU181" s="23"/>
      <c r="DUV181" s="23"/>
      <c r="DUW181" s="23"/>
      <c r="DUX181" s="23"/>
      <c r="DUY181" s="23"/>
      <c r="DUZ181" s="23"/>
      <c r="DVA181" s="23"/>
      <c r="DVB181" s="23"/>
      <c r="DVC181" s="23"/>
      <c r="DVD181" s="23"/>
      <c r="DVE181" s="23"/>
      <c r="DVF181" s="23"/>
      <c r="DVG181" s="23"/>
      <c r="DVH181" s="23"/>
      <c r="DVI181" s="23"/>
      <c r="DVJ181" s="23"/>
      <c r="DVK181" s="23"/>
      <c r="DVL181" s="23"/>
      <c r="DVM181" s="23"/>
      <c r="DVN181" s="23"/>
      <c r="DVO181" s="23"/>
      <c r="DVP181" s="23"/>
      <c r="DVQ181" s="23"/>
      <c r="DVR181" s="23"/>
      <c r="DVS181" s="23"/>
      <c r="DVT181" s="23"/>
      <c r="DVU181" s="23"/>
      <c r="DVV181" s="23"/>
      <c r="DVW181" s="23"/>
      <c r="DVX181" s="23"/>
      <c r="DVY181" s="23"/>
      <c r="DVZ181" s="23"/>
      <c r="DWA181" s="23"/>
      <c r="DWB181" s="23"/>
      <c r="DWC181" s="23"/>
      <c r="DWD181" s="23"/>
      <c r="DWE181" s="23"/>
      <c r="DWF181" s="23"/>
      <c r="DWG181" s="23"/>
      <c r="DWH181" s="23"/>
      <c r="DWI181" s="23"/>
      <c r="DWJ181" s="23"/>
      <c r="DWK181" s="23"/>
      <c r="DWL181" s="23"/>
      <c r="DWM181" s="23"/>
      <c r="DWN181" s="23"/>
      <c r="DWO181" s="23"/>
      <c r="DWP181" s="23"/>
      <c r="DWQ181" s="23"/>
      <c r="DWR181" s="23"/>
      <c r="DWS181" s="23"/>
      <c r="DWT181" s="23"/>
      <c r="DWU181" s="23"/>
      <c r="DWV181" s="23"/>
      <c r="DWW181" s="23"/>
      <c r="DWX181" s="23"/>
      <c r="DWY181" s="23"/>
      <c r="DWZ181" s="23"/>
      <c r="DXA181" s="23"/>
      <c r="DXB181" s="23"/>
      <c r="DXC181" s="23"/>
      <c r="DXD181" s="23"/>
      <c r="DXE181" s="23"/>
      <c r="DXF181" s="23"/>
      <c r="DXG181" s="23"/>
      <c r="DXH181" s="23"/>
      <c r="DXI181" s="23"/>
      <c r="DXJ181" s="23"/>
      <c r="DXK181" s="23"/>
      <c r="DXL181" s="23"/>
      <c r="DXM181" s="23"/>
      <c r="DXN181" s="23"/>
      <c r="DXO181" s="23"/>
      <c r="DXP181" s="23"/>
      <c r="DXQ181" s="23"/>
      <c r="DXR181" s="23"/>
      <c r="DXS181" s="23"/>
      <c r="DXT181" s="23"/>
      <c r="DXU181" s="23"/>
      <c r="DXV181" s="23"/>
      <c r="DXW181" s="23"/>
      <c r="DXX181" s="23"/>
      <c r="DXY181" s="23"/>
      <c r="DXZ181" s="23"/>
      <c r="DYA181" s="23"/>
      <c r="DYB181" s="23"/>
      <c r="DYC181" s="23"/>
      <c r="DYD181" s="23"/>
      <c r="DYE181" s="23"/>
      <c r="DYF181" s="23"/>
      <c r="DYG181" s="23"/>
      <c r="DYH181" s="23"/>
      <c r="DYI181" s="23"/>
      <c r="DYJ181" s="23"/>
      <c r="DYK181" s="23"/>
      <c r="DYL181" s="23"/>
      <c r="DYM181" s="23"/>
      <c r="DYN181" s="23"/>
      <c r="DYO181" s="23"/>
      <c r="DYP181" s="23"/>
      <c r="DYQ181" s="23"/>
      <c r="DYR181" s="23"/>
      <c r="DYS181" s="23"/>
      <c r="DYT181" s="23"/>
      <c r="DYU181" s="23"/>
      <c r="DYV181" s="23"/>
      <c r="DYW181" s="23"/>
      <c r="DYX181" s="23"/>
      <c r="DYY181" s="23"/>
      <c r="DYZ181" s="23"/>
      <c r="DZA181" s="23"/>
      <c r="DZB181" s="23"/>
      <c r="DZC181" s="23"/>
      <c r="DZD181" s="23"/>
      <c r="DZE181" s="23"/>
      <c r="DZF181" s="23"/>
      <c r="DZG181" s="23"/>
      <c r="DZH181" s="23"/>
      <c r="DZI181" s="23"/>
      <c r="DZJ181" s="23"/>
      <c r="DZK181" s="23"/>
      <c r="DZL181" s="23"/>
      <c r="DZM181" s="23"/>
      <c r="DZN181" s="23"/>
      <c r="DZO181" s="23"/>
      <c r="DZP181" s="23"/>
      <c r="DZQ181" s="23"/>
      <c r="DZR181" s="23"/>
      <c r="DZS181" s="23"/>
      <c r="DZT181" s="23"/>
      <c r="DZU181" s="23"/>
      <c r="DZV181" s="23"/>
      <c r="DZW181" s="23"/>
      <c r="DZX181" s="23"/>
      <c r="DZY181" s="23"/>
      <c r="DZZ181" s="23"/>
      <c r="EAA181" s="23"/>
      <c r="EAB181" s="23"/>
      <c r="EAC181" s="23"/>
      <c r="EAD181" s="23"/>
      <c r="EAE181" s="23"/>
      <c r="EAF181" s="23"/>
      <c r="EAG181" s="23"/>
      <c r="EAH181" s="23"/>
      <c r="EAI181" s="23"/>
      <c r="EAJ181" s="23"/>
      <c r="EAK181" s="23"/>
      <c r="EAL181" s="23"/>
      <c r="EAM181" s="23"/>
      <c r="EAN181" s="23"/>
      <c r="EAO181" s="23"/>
      <c r="EAP181" s="23"/>
      <c r="EAQ181" s="23"/>
      <c r="EAR181" s="23"/>
      <c r="EAS181" s="23"/>
      <c r="EAT181" s="23"/>
      <c r="EAU181" s="23"/>
      <c r="EAV181" s="23"/>
      <c r="EAW181" s="23"/>
      <c r="EAX181" s="23"/>
      <c r="EAY181" s="23"/>
      <c r="EAZ181" s="23"/>
      <c r="EBA181" s="23"/>
      <c r="EBB181" s="23"/>
      <c r="EBC181" s="23"/>
      <c r="EBD181" s="23"/>
      <c r="EBE181" s="23"/>
      <c r="EBF181" s="23"/>
      <c r="EBG181" s="23"/>
      <c r="EBH181" s="23"/>
      <c r="EBI181" s="23"/>
      <c r="EBJ181" s="23"/>
      <c r="EBK181" s="23"/>
      <c r="EBL181" s="23"/>
      <c r="EBM181" s="23"/>
      <c r="EBN181" s="23"/>
      <c r="EBO181" s="23"/>
      <c r="EBP181" s="23"/>
      <c r="EBQ181" s="23"/>
      <c r="EBR181" s="23"/>
      <c r="EBS181" s="23"/>
      <c r="EBT181" s="23"/>
      <c r="EBU181" s="23"/>
      <c r="EBV181" s="23"/>
      <c r="EBW181" s="23"/>
      <c r="EBX181" s="23"/>
      <c r="EBY181" s="23"/>
      <c r="EBZ181" s="23"/>
      <c r="ECA181" s="23"/>
      <c r="ECB181" s="23"/>
      <c r="ECC181" s="23"/>
      <c r="ECD181" s="23"/>
      <c r="ECE181" s="23"/>
      <c r="ECF181" s="23"/>
      <c r="ECG181" s="23"/>
      <c r="ECH181" s="23"/>
      <c r="ECI181" s="23"/>
      <c r="ECJ181" s="23"/>
      <c r="ECK181" s="23"/>
      <c r="ECL181" s="23"/>
      <c r="ECM181" s="23"/>
      <c r="ECN181" s="23"/>
      <c r="ECO181" s="23"/>
      <c r="ECP181" s="23"/>
      <c r="ECQ181" s="23"/>
      <c r="ECR181" s="23"/>
      <c r="ECS181" s="23"/>
      <c r="ECT181" s="23"/>
      <c r="ECU181" s="23"/>
      <c r="ECV181" s="23"/>
      <c r="ECW181" s="23"/>
      <c r="ECX181" s="23"/>
      <c r="ECY181" s="23"/>
      <c r="ECZ181" s="23"/>
      <c r="EDA181" s="23"/>
      <c r="EDB181" s="23"/>
      <c r="EDC181" s="23"/>
      <c r="EDD181" s="23"/>
      <c r="EDE181" s="23"/>
      <c r="EDF181" s="23"/>
      <c r="EDG181" s="23"/>
      <c r="EDH181" s="23"/>
      <c r="EDI181" s="23"/>
      <c r="EDJ181" s="23"/>
      <c r="EDK181" s="23"/>
      <c r="EDL181" s="23"/>
      <c r="EDM181" s="23"/>
      <c r="EDN181" s="23"/>
      <c r="EDO181" s="23"/>
      <c r="EDP181" s="23"/>
      <c r="EDQ181" s="23"/>
      <c r="EDR181" s="23"/>
      <c r="EDS181" s="23"/>
      <c r="EDT181" s="23"/>
      <c r="EDU181" s="23"/>
      <c r="EDV181" s="23"/>
      <c r="EDW181" s="23"/>
      <c r="EDX181" s="23"/>
      <c r="EDY181" s="23"/>
      <c r="EDZ181" s="23"/>
      <c r="EEA181" s="23"/>
      <c r="EEB181" s="23"/>
      <c r="EEC181" s="23"/>
      <c r="EED181" s="23"/>
      <c r="EEE181" s="23"/>
      <c r="EEF181" s="23"/>
      <c r="EEG181" s="23"/>
      <c r="EEH181" s="23"/>
      <c r="EEI181" s="23"/>
      <c r="EEJ181" s="23"/>
      <c r="EEK181" s="23"/>
      <c r="EEL181" s="23"/>
      <c r="EEM181" s="23"/>
      <c r="EEN181" s="23"/>
      <c r="EEO181" s="23"/>
      <c r="EEP181" s="23"/>
      <c r="EEQ181" s="23"/>
      <c r="EER181" s="23"/>
      <c r="EES181" s="23"/>
      <c r="EET181" s="23"/>
      <c r="EEU181" s="23"/>
      <c r="EEV181" s="23"/>
      <c r="EEW181" s="23"/>
      <c r="EEX181" s="23"/>
      <c r="EEY181" s="23"/>
      <c r="EEZ181" s="23"/>
      <c r="EFA181" s="23"/>
      <c r="EFB181" s="23"/>
      <c r="EFC181" s="23"/>
      <c r="EFD181" s="23"/>
      <c r="EFE181" s="23"/>
      <c r="EFF181" s="23"/>
      <c r="EFG181" s="23"/>
      <c r="EFH181" s="23"/>
      <c r="EFI181" s="23"/>
      <c r="EFJ181" s="23"/>
      <c r="EFK181" s="23"/>
      <c r="EFL181" s="23"/>
      <c r="EFM181" s="23"/>
      <c r="EFN181" s="23"/>
      <c r="EFO181" s="23"/>
      <c r="EFP181" s="23"/>
      <c r="EFQ181" s="23"/>
      <c r="EFR181" s="23"/>
      <c r="EFS181" s="23"/>
      <c r="EFT181" s="23"/>
      <c r="EFU181" s="23"/>
      <c r="EFV181" s="23"/>
      <c r="EFW181" s="23"/>
      <c r="EFX181" s="23"/>
      <c r="EFY181" s="23"/>
      <c r="EFZ181" s="23"/>
      <c r="EGA181" s="23"/>
      <c r="EGB181" s="23"/>
      <c r="EGC181" s="23"/>
      <c r="EGD181" s="23"/>
      <c r="EGE181" s="23"/>
      <c r="EGF181" s="23"/>
      <c r="EGG181" s="23"/>
      <c r="EGH181" s="23"/>
      <c r="EGI181" s="23"/>
      <c r="EGJ181" s="23"/>
      <c r="EGK181" s="23"/>
      <c r="EGL181" s="23"/>
      <c r="EGM181" s="23"/>
      <c r="EGN181" s="23"/>
      <c r="EGO181" s="23"/>
      <c r="EGP181" s="23"/>
      <c r="EGQ181" s="23"/>
      <c r="EGR181" s="23"/>
      <c r="EGS181" s="23"/>
      <c r="EGT181" s="23"/>
      <c r="EGU181" s="23"/>
      <c r="EGV181" s="23"/>
      <c r="EGW181" s="23"/>
      <c r="EGX181" s="23"/>
      <c r="EGY181" s="23"/>
      <c r="EGZ181" s="23"/>
      <c r="EHA181" s="23"/>
      <c r="EHB181" s="23"/>
      <c r="EHC181" s="23"/>
      <c r="EHD181" s="23"/>
      <c r="EHE181" s="23"/>
      <c r="EHF181" s="23"/>
      <c r="EHG181" s="23"/>
      <c r="EHH181" s="23"/>
      <c r="EHI181" s="23"/>
      <c r="EHJ181" s="23"/>
      <c r="EHK181" s="23"/>
      <c r="EHL181" s="23"/>
      <c r="EHM181" s="23"/>
      <c r="EHN181" s="23"/>
      <c r="EHO181" s="23"/>
      <c r="EHP181" s="23"/>
      <c r="EHQ181" s="23"/>
      <c r="EHR181" s="23"/>
      <c r="EHS181" s="23"/>
      <c r="EHT181" s="23"/>
      <c r="EHU181" s="23"/>
      <c r="EHV181" s="23"/>
      <c r="EHW181" s="23"/>
      <c r="EHX181" s="23"/>
      <c r="EHY181" s="23"/>
      <c r="EHZ181" s="23"/>
      <c r="EIA181" s="23"/>
      <c r="EIB181" s="23"/>
      <c r="EIC181" s="23"/>
      <c r="EID181" s="23"/>
      <c r="EIE181" s="23"/>
      <c r="EIF181" s="23"/>
      <c r="EIG181" s="23"/>
      <c r="EIH181" s="23"/>
      <c r="EII181" s="23"/>
      <c r="EIJ181" s="23"/>
      <c r="EIK181" s="23"/>
      <c r="EIL181" s="23"/>
      <c r="EIM181" s="23"/>
      <c r="EIN181" s="23"/>
      <c r="EIO181" s="23"/>
      <c r="EIP181" s="23"/>
      <c r="EIQ181" s="23"/>
      <c r="EIR181" s="23"/>
      <c r="EIS181" s="23"/>
      <c r="EIT181" s="23"/>
      <c r="EIU181" s="23"/>
      <c r="EIV181" s="23"/>
      <c r="EIW181" s="23"/>
      <c r="EIX181" s="23"/>
      <c r="EIY181" s="23"/>
      <c r="EIZ181" s="23"/>
      <c r="EJA181" s="23"/>
      <c r="EJB181" s="23"/>
      <c r="EJC181" s="23"/>
      <c r="EJD181" s="23"/>
      <c r="EJE181" s="23"/>
      <c r="EJF181" s="23"/>
      <c r="EJG181" s="23"/>
      <c r="EJH181" s="23"/>
      <c r="EJI181" s="23"/>
      <c r="EJJ181" s="23"/>
      <c r="EJK181" s="23"/>
      <c r="EJL181" s="23"/>
      <c r="EJM181" s="23"/>
      <c r="EJN181" s="23"/>
      <c r="EJO181" s="23"/>
      <c r="EJP181" s="23"/>
      <c r="EJQ181" s="23"/>
      <c r="EJR181" s="23"/>
      <c r="EJS181" s="23"/>
      <c r="EJT181" s="23"/>
      <c r="EJU181" s="23"/>
      <c r="EJV181" s="23"/>
      <c r="EJW181" s="23"/>
      <c r="EJX181" s="23"/>
      <c r="EJY181" s="23"/>
      <c r="EJZ181" s="23"/>
      <c r="EKA181" s="23"/>
      <c r="EKB181" s="23"/>
      <c r="EKC181" s="23"/>
      <c r="EKD181" s="23"/>
      <c r="EKE181" s="23"/>
      <c r="EKF181" s="23"/>
      <c r="EKG181" s="23"/>
      <c r="EKH181" s="23"/>
      <c r="EKI181" s="23"/>
      <c r="EKJ181" s="23"/>
      <c r="EKK181" s="23"/>
      <c r="EKL181" s="23"/>
      <c r="EKM181" s="23"/>
      <c r="EKN181" s="23"/>
      <c r="EKO181" s="23"/>
      <c r="EKP181" s="23"/>
      <c r="EKQ181" s="23"/>
      <c r="EKR181" s="23"/>
      <c r="EKS181" s="23"/>
      <c r="EKT181" s="23"/>
      <c r="EKU181" s="23"/>
      <c r="EKV181" s="23"/>
      <c r="EKW181" s="23"/>
      <c r="EKX181" s="23"/>
      <c r="EKY181" s="23"/>
      <c r="EKZ181" s="23"/>
      <c r="ELA181" s="23"/>
      <c r="ELB181" s="23"/>
      <c r="ELC181" s="23"/>
      <c r="ELD181" s="23"/>
      <c r="ELE181" s="23"/>
      <c r="ELF181" s="23"/>
      <c r="ELG181" s="23"/>
      <c r="ELH181" s="23"/>
      <c r="ELI181" s="23"/>
      <c r="ELJ181" s="23"/>
      <c r="ELK181" s="23"/>
      <c r="ELL181" s="23"/>
      <c r="ELM181" s="23"/>
      <c r="ELN181" s="23"/>
      <c r="ELO181" s="23"/>
      <c r="ELP181" s="23"/>
      <c r="ELQ181" s="23"/>
      <c r="ELR181" s="23"/>
      <c r="ELS181" s="23"/>
      <c r="ELT181" s="23"/>
      <c r="ELU181" s="23"/>
      <c r="ELV181" s="23"/>
      <c r="ELW181" s="23"/>
      <c r="ELX181" s="23"/>
      <c r="ELY181" s="23"/>
      <c r="ELZ181" s="23"/>
      <c r="EMA181" s="23"/>
      <c r="EMB181" s="23"/>
      <c r="EMC181" s="23"/>
      <c r="EMD181" s="23"/>
      <c r="EME181" s="23"/>
      <c r="EMF181" s="23"/>
      <c r="EMG181" s="23"/>
      <c r="EMH181" s="23"/>
      <c r="EMI181" s="23"/>
      <c r="EMJ181" s="23"/>
      <c r="EMK181" s="23"/>
      <c r="EML181" s="23"/>
      <c r="EMM181" s="23"/>
      <c r="EMN181" s="23"/>
      <c r="EMO181" s="23"/>
      <c r="EMP181" s="23"/>
      <c r="EMQ181" s="23"/>
      <c r="EMR181" s="23"/>
      <c r="EMS181" s="23"/>
      <c r="EMT181" s="23"/>
      <c r="EMU181" s="23"/>
      <c r="EMV181" s="23"/>
      <c r="EMW181" s="23"/>
      <c r="EMX181" s="23"/>
      <c r="EMY181" s="23"/>
      <c r="EMZ181" s="23"/>
      <c r="ENA181" s="23"/>
      <c r="ENB181" s="23"/>
      <c r="ENC181" s="23"/>
      <c r="END181" s="23"/>
      <c r="ENE181" s="23"/>
      <c r="ENF181" s="23"/>
      <c r="ENG181" s="23"/>
      <c r="ENH181" s="23"/>
      <c r="ENI181" s="23"/>
      <c r="ENJ181" s="23"/>
      <c r="ENK181" s="23"/>
      <c r="ENL181" s="23"/>
      <c r="ENM181" s="23"/>
      <c r="ENN181" s="23"/>
      <c r="ENO181" s="23"/>
      <c r="ENP181" s="23"/>
      <c r="ENQ181" s="23"/>
      <c r="ENR181" s="23"/>
      <c r="ENS181" s="23"/>
      <c r="ENT181" s="23"/>
      <c r="ENU181" s="23"/>
      <c r="ENV181" s="23"/>
      <c r="ENW181" s="23"/>
      <c r="ENX181" s="23"/>
      <c r="ENY181" s="23"/>
      <c r="ENZ181" s="23"/>
      <c r="EOA181" s="23"/>
      <c r="EOB181" s="23"/>
      <c r="EOC181" s="23"/>
      <c r="EOD181" s="23"/>
      <c r="EOE181" s="23"/>
      <c r="EOF181" s="23"/>
      <c r="EOG181" s="23"/>
      <c r="EOH181" s="23"/>
      <c r="EOI181" s="23"/>
      <c r="EOJ181" s="23"/>
      <c r="EOK181" s="23"/>
      <c r="EOL181" s="23"/>
      <c r="EOM181" s="23"/>
      <c r="EON181" s="23"/>
      <c r="EOO181" s="23"/>
      <c r="EOP181" s="23"/>
      <c r="EOQ181" s="23"/>
      <c r="EOR181" s="23"/>
      <c r="EOS181" s="23"/>
      <c r="EOT181" s="23"/>
      <c r="EOU181" s="23"/>
      <c r="EOV181" s="23"/>
      <c r="EOW181" s="23"/>
      <c r="EOX181" s="23"/>
      <c r="EOY181" s="23"/>
      <c r="EOZ181" s="23"/>
      <c r="EPA181" s="23"/>
      <c r="EPB181" s="23"/>
      <c r="EPC181" s="23"/>
      <c r="EPD181" s="23"/>
      <c r="EPE181" s="23"/>
      <c r="EPF181" s="23"/>
      <c r="EPG181" s="23"/>
      <c r="EPH181" s="23"/>
      <c r="EPI181" s="23"/>
      <c r="EPJ181" s="23"/>
      <c r="EPK181" s="23"/>
      <c r="EPL181" s="23"/>
      <c r="EPM181" s="23"/>
      <c r="EPN181" s="23"/>
      <c r="EPO181" s="23"/>
      <c r="EPP181" s="23"/>
      <c r="EPQ181" s="23"/>
      <c r="EPR181" s="23"/>
      <c r="EPS181" s="23"/>
      <c r="EPT181" s="23"/>
      <c r="EPU181" s="23"/>
      <c r="EPV181" s="23"/>
      <c r="EPW181" s="23"/>
      <c r="EPX181" s="23"/>
      <c r="EPY181" s="23"/>
      <c r="EPZ181" s="23"/>
      <c r="EQA181" s="23"/>
      <c r="EQB181" s="23"/>
      <c r="EQC181" s="23"/>
      <c r="EQD181" s="23"/>
      <c r="EQE181" s="23"/>
      <c r="EQF181" s="23"/>
      <c r="EQG181" s="23"/>
      <c r="EQH181" s="23"/>
      <c r="EQI181" s="23"/>
      <c r="EQJ181" s="23"/>
      <c r="EQK181" s="23"/>
      <c r="EQL181" s="23"/>
      <c r="EQM181" s="23"/>
      <c r="EQN181" s="23"/>
      <c r="EQO181" s="23"/>
      <c r="EQP181" s="23"/>
      <c r="EQQ181" s="23"/>
      <c r="EQR181" s="23"/>
      <c r="EQS181" s="23"/>
      <c r="EQT181" s="23"/>
      <c r="EQU181" s="23"/>
      <c r="EQV181" s="23"/>
      <c r="EQW181" s="23"/>
      <c r="EQX181" s="23"/>
      <c r="EQY181" s="23"/>
      <c r="EQZ181" s="23"/>
      <c r="ERA181" s="23"/>
      <c r="ERB181" s="23"/>
      <c r="ERC181" s="23"/>
      <c r="ERD181" s="23"/>
      <c r="ERE181" s="23"/>
      <c r="ERF181" s="23"/>
      <c r="ERG181" s="23"/>
      <c r="ERH181" s="23"/>
      <c r="ERI181" s="23"/>
      <c r="ERJ181" s="23"/>
      <c r="ERK181" s="23"/>
      <c r="ERL181" s="23"/>
      <c r="ERM181" s="23"/>
      <c r="ERN181" s="23"/>
      <c r="ERO181" s="23"/>
      <c r="ERP181" s="23"/>
      <c r="ERQ181" s="23"/>
      <c r="ERR181" s="23"/>
      <c r="ERS181" s="23"/>
      <c r="ERT181" s="23"/>
      <c r="ERU181" s="23"/>
      <c r="ERV181" s="23"/>
      <c r="ERW181" s="23"/>
      <c r="ERX181" s="23"/>
      <c r="ERY181" s="23"/>
      <c r="ERZ181" s="23"/>
      <c r="ESA181" s="23"/>
      <c r="ESB181" s="23"/>
      <c r="ESC181" s="23"/>
      <c r="ESD181" s="23"/>
      <c r="ESE181" s="23"/>
      <c r="ESF181" s="23"/>
      <c r="ESG181" s="23"/>
      <c r="ESH181" s="23"/>
      <c r="ESI181" s="23"/>
      <c r="ESJ181" s="23"/>
      <c r="ESK181" s="23"/>
      <c r="ESL181" s="23"/>
      <c r="ESM181" s="23"/>
      <c r="ESN181" s="23"/>
      <c r="ESO181" s="23"/>
      <c r="ESP181" s="23"/>
      <c r="ESQ181" s="23"/>
      <c r="ESR181" s="23"/>
      <c r="ESS181" s="23"/>
      <c r="EST181" s="23"/>
      <c r="ESU181" s="23"/>
      <c r="ESV181" s="23"/>
      <c r="ESW181" s="23"/>
      <c r="ESX181" s="23"/>
      <c r="ESY181" s="23"/>
      <c r="ESZ181" s="23"/>
      <c r="ETA181" s="23"/>
      <c r="ETB181" s="23"/>
      <c r="ETC181" s="23"/>
      <c r="ETD181" s="23"/>
      <c r="ETE181" s="23"/>
      <c r="ETF181" s="23"/>
      <c r="ETG181" s="23"/>
      <c r="ETH181" s="23"/>
      <c r="ETI181" s="23"/>
      <c r="ETJ181" s="23"/>
      <c r="ETK181" s="23"/>
      <c r="ETL181" s="23"/>
      <c r="ETM181" s="23"/>
      <c r="ETN181" s="23"/>
      <c r="ETO181" s="23"/>
      <c r="ETP181" s="23"/>
      <c r="ETQ181" s="23"/>
      <c r="ETR181" s="23"/>
      <c r="ETS181" s="23"/>
      <c r="ETT181" s="23"/>
      <c r="ETU181" s="23"/>
      <c r="ETV181" s="23"/>
      <c r="ETW181" s="23"/>
      <c r="ETX181" s="23"/>
      <c r="ETY181" s="23"/>
      <c r="ETZ181" s="23"/>
      <c r="EUA181" s="23"/>
      <c r="EUB181" s="23"/>
      <c r="EUC181" s="23"/>
      <c r="EUD181" s="23"/>
      <c r="EUE181" s="23"/>
      <c r="EUF181" s="23"/>
      <c r="EUG181" s="23"/>
      <c r="EUH181" s="23"/>
      <c r="EUI181" s="23"/>
      <c r="EUJ181" s="23"/>
      <c r="EUK181" s="23"/>
      <c r="EUL181" s="23"/>
      <c r="EUM181" s="23"/>
      <c r="EUN181" s="23"/>
      <c r="EUO181" s="23"/>
      <c r="EUP181" s="23"/>
      <c r="EUQ181" s="23"/>
      <c r="EUR181" s="23"/>
      <c r="EUS181" s="23"/>
      <c r="EUT181" s="23"/>
      <c r="EUU181" s="23"/>
      <c r="EUV181" s="23"/>
      <c r="EUW181" s="23"/>
      <c r="EUX181" s="23"/>
      <c r="EUY181" s="23"/>
      <c r="EUZ181" s="23"/>
      <c r="EVA181" s="23"/>
      <c r="EVB181" s="23"/>
      <c r="EVC181" s="23"/>
      <c r="EVD181" s="23"/>
      <c r="EVE181" s="23"/>
      <c r="EVF181" s="23"/>
      <c r="EVG181" s="23"/>
      <c r="EVH181" s="23"/>
      <c r="EVI181" s="23"/>
      <c r="EVJ181" s="23"/>
      <c r="EVK181" s="23"/>
      <c r="EVL181" s="23"/>
      <c r="EVM181" s="23"/>
      <c r="EVN181" s="23"/>
      <c r="EVO181" s="23"/>
      <c r="EVP181" s="23"/>
      <c r="EVQ181" s="23"/>
      <c r="EVR181" s="23"/>
      <c r="EVS181" s="23"/>
      <c r="EVT181" s="23"/>
      <c r="EVU181" s="23"/>
      <c r="EVV181" s="23"/>
      <c r="EVW181" s="23"/>
      <c r="EVX181" s="23"/>
      <c r="EVY181" s="23"/>
      <c r="EVZ181" s="23"/>
      <c r="EWA181" s="23"/>
      <c r="EWB181" s="23"/>
      <c r="EWC181" s="23"/>
      <c r="EWD181" s="23"/>
      <c r="EWE181" s="23"/>
      <c r="EWF181" s="23"/>
      <c r="EWG181" s="23"/>
      <c r="EWH181" s="23"/>
      <c r="EWI181" s="23"/>
      <c r="EWJ181" s="23"/>
      <c r="EWK181" s="23"/>
      <c r="EWL181" s="23"/>
      <c r="EWM181" s="23"/>
      <c r="EWN181" s="23"/>
      <c r="EWO181" s="23"/>
      <c r="EWP181" s="23"/>
      <c r="EWQ181" s="23"/>
      <c r="EWR181" s="23"/>
      <c r="EWS181" s="23"/>
      <c r="EWT181" s="23"/>
      <c r="EWU181" s="23"/>
      <c r="EWV181" s="23"/>
      <c r="EWW181" s="23"/>
      <c r="EWX181" s="23"/>
      <c r="EWY181" s="23"/>
      <c r="EWZ181" s="23"/>
      <c r="EXA181" s="23"/>
      <c r="EXB181" s="23"/>
      <c r="EXC181" s="23"/>
      <c r="EXD181" s="23"/>
      <c r="EXE181" s="23"/>
      <c r="EXF181" s="23"/>
      <c r="EXG181" s="23"/>
      <c r="EXH181" s="23"/>
      <c r="EXI181" s="23"/>
      <c r="EXJ181" s="23"/>
      <c r="EXK181" s="23"/>
      <c r="EXL181" s="23"/>
      <c r="EXM181" s="23"/>
      <c r="EXN181" s="23"/>
      <c r="EXO181" s="23"/>
      <c r="EXP181" s="23"/>
      <c r="EXQ181" s="23"/>
      <c r="EXR181" s="23"/>
      <c r="EXS181" s="23"/>
      <c r="EXT181" s="23"/>
      <c r="EXU181" s="23"/>
      <c r="EXV181" s="23"/>
      <c r="EXW181" s="23"/>
      <c r="EXX181" s="23"/>
      <c r="EXY181" s="23"/>
      <c r="EXZ181" s="23"/>
      <c r="EYA181" s="23"/>
      <c r="EYB181" s="23"/>
      <c r="EYC181" s="23"/>
      <c r="EYD181" s="23"/>
      <c r="EYE181" s="23"/>
      <c r="EYF181" s="23"/>
      <c r="EYG181" s="23"/>
      <c r="EYH181" s="23"/>
      <c r="EYI181" s="23"/>
      <c r="EYJ181" s="23"/>
      <c r="EYK181" s="23"/>
      <c r="EYL181" s="23"/>
      <c r="EYM181" s="23"/>
      <c r="EYN181" s="23"/>
      <c r="EYO181" s="23"/>
      <c r="EYP181" s="23"/>
      <c r="EYQ181" s="23"/>
      <c r="EYR181" s="23"/>
      <c r="EYS181" s="23"/>
      <c r="EYT181" s="23"/>
      <c r="EYU181" s="23"/>
      <c r="EYV181" s="23"/>
      <c r="EYW181" s="23"/>
      <c r="EYX181" s="23"/>
      <c r="EYY181" s="23"/>
      <c r="EYZ181" s="23"/>
      <c r="EZA181" s="23"/>
      <c r="EZB181" s="23"/>
      <c r="EZC181" s="23"/>
      <c r="EZD181" s="23"/>
      <c r="EZE181" s="23"/>
      <c r="EZF181" s="23"/>
      <c r="EZG181" s="23"/>
      <c r="EZH181" s="23"/>
      <c r="EZI181" s="23"/>
      <c r="EZJ181" s="23"/>
      <c r="EZK181" s="23"/>
      <c r="EZL181" s="23"/>
      <c r="EZM181" s="23"/>
      <c r="EZN181" s="23"/>
      <c r="EZO181" s="23"/>
      <c r="EZP181" s="23"/>
      <c r="EZQ181" s="23"/>
      <c r="EZR181" s="23"/>
      <c r="EZS181" s="23"/>
      <c r="EZT181" s="23"/>
      <c r="EZU181" s="23"/>
      <c r="EZV181" s="23"/>
      <c r="EZW181" s="23"/>
      <c r="EZX181" s="23"/>
      <c r="EZY181" s="23"/>
      <c r="EZZ181" s="23"/>
      <c r="FAA181" s="23"/>
      <c r="FAB181" s="23"/>
      <c r="FAC181" s="23"/>
      <c r="FAD181" s="23"/>
      <c r="FAE181" s="23"/>
      <c r="FAF181" s="23"/>
      <c r="FAG181" s="23"/>
      <c r="FAH181" s="23"/>
      <c r="FAI181" s="23"/>
      <c r="FAJ181" s="23"/>
      <c r="FAK181" s="23"/>
      <c r="FAL181" s="23"/>
      <c r="FAM181" s="23"/>
      <c r="FAN181" s="23"/>
      <c r="FAO181" s="23"/>
      <c r="FAP181" s="23"/>
      <c r="FAQ181" s="23"/>
      <c r="FAR181" s="23"/>
      <c r="FAS181" s="23"/>
      <c r="FAT181" s="23"/>
      <c r="FAU181" s="23"/>
      <c r="FAV181" s="23"/>
      <c r="FAW181" s="23"/>
      <c r="FAX181" s="23"/>
      <c r="FAY181" s="23"/>
      <c r="FAZ181" s="23"/>
      <c r="FBA181" s="23"/>
      <c r="FBB181" s="23"/>
      <c r="FBC181" s="23"/>
      <c r="FBD181" s="23"/>
      <c r="FBE181" s="23"/>
      <c r="FBF181" s="23"/>
      <c r="FBG181" s="23"/>
      <c r="FBH181" s="23"/>
      <c r="FBI181" s="23"/>
      <c r="FBJ181" s="23"/>
      <c r="FBK181" s="23"/>
      <c r="FBL181" s="23"/>
      <c r="FBM181" s="23"/>
      <c r="FBN181" s="23"/>
      <c r="FBO181" s="23"/>
      <c r="FBP181" s="23"/>
      <c r="FBQ181" s="23"/>
      <c r="FBR181" s="23"/>
      <c r="FBS181" s="23"/>
      <c r="FBT181" s="23"/>
      <c r="FBU181" s="23"/>
      <c r="FBV181" s="23"/>
      <c r="FBW181" s="23"/>
      <c r="FBX181" s="23"/>
      <c r="FBY181" s="23"/>
      <c r="FBZ181" s="23"/>
      <c r="FCA181" s="23"/>
      <c r="FCB181" s="23"/>
      <c r="FCC181" s="23"/>
      <c r="FCD181" s="23"/>
      <c r="FCE181" s="23"/>
      <c r="FCF181" s="23"/>
      <c r="FCG181" s="23"/>
      <c r="FCH181" s="23"/>
      <c r="FCI181" s="23"/>
      <c r="FCJ181" s="23"/>
      <c r="FCK181" s="23"/>
      <c r="FCL181" s="23"/>
      <c r="FCM181" s="23"/>
      <c r="FCN181" s="23"/>
      <c r="FCO181" s="23"/>
      <c r="FCP181" s="23"/>
      <c r="FCQ181" s="23"/>
      <c r="FCR181" s="23"/>
      <c r="FCS181" s="23"/>
      <c r="FCT181" s="23"/>
      <c r="FCU181" s="23"/>
      <c r="FCV181" s="23"/>
      <c r="FCW181" s="23"/>
      <c r="FCX181" s="23"/>
      <c r="FCY181" s="23"/>
      <c r="FCZ181" s="23"/>
      <c r="FDA181" s="23"/>
      <c r="FDB181" s="23"/>
      <c r="FDC181" s="23"/>
      <c r="FDD181" s="23"/>
      <c r="FDE181" s="23"/>
      <c r="FDF181" s="23"/>
      <c r="FDG181" s="23"/>
      <c r="FDH181" s="23"/>
      <c r="FDI181" s="23"/>
      <c r="FDJ181" s="23"/>
      <c r="FDK181" s="23"/>
      <c r="FDL181" s="23"/>
      <c r="FDM181" s="23"/>
      <c r="FDN181" s="23"/>
      <c r="FDO181" s="23"/>
      <c r="FDP181" s="23"/>
      <c r="FDQ181" s="23"/>
      <c r="FDR181" s="23"/>
      <c r="FDS181" s="23"/>
      <c r="FDT181" s="23"/>
      <c r="FDU181" s="23"/>
      <c r="FDV181" s="23"/>
      <c r="FDW181" s="23"/>
      <c r="FDX181" s="23"/>
      <c r="FDY181" s="23"/>
      <c r="FDZ181" s="23"/>
      <c r="FEA181" s="23"/>
      <c r="FEB181" s="23"/>
      <c r="FEC181" s="23"/>
      <c r="FED181" s="23"/>
      <c r="FEE181" s="23"/>
      <c r="FEF181" s="23"/>
      <c r="FEG181" s="23"/>
      <c r="FEH181" s="23"/>
      <c r="FEI181" s="23"/>
      <c r="FEJ181" s="23"/>
      <c r="FEK181" s="23"/>
      <c r="FEL181" s="23"/>
      <c r="FEM181" s="23"/>
      <c r="FEN181" s="23"/>
      <c r="FEO181" s="23"/>
      <c r="FEP181" s="23"/>
      <c r="FEQ181" s="23"/>
      <c r="FER181" s="23"/>
      <c r="FES181" s="23"/>
      <c r="FET181" s="23"/>
      <c r="FEU181" s="23"/>
      <c r="FEV181" s="23"/>
      <c r="FEW181" s="23"/>
      <c r="FEX181" s="23"/>
      <c r="FEY181" s="23"/>
      <c r="FEZ181" s="23"/>
      <c r="FFA181" s="23"/>
      <c r="FFB181" s="23"/>
      <c r="FFC181" s="23"/>
      <c r="FFD181" s="23"/>
      <c r="FFE181" s="23"/>
      <c r="FFF181" s="23"/>
      <c r="FFG181" s="23"/>
      <c r="FFH181" s="23"/>
      <c r="FFI181" s="23"/>
      <c r="FFJ181" s="23"/>
      <c r="FFK181" s="23"/>
      <c r="FFL181" s="23"/>
      <c r="FFM181" s="23"/>
      <c r="FFN181" s="23"/>
      <c r="FFO181" s="23"/>
      <c r="FFP181" s="23"/>
      <c r="FFQ181" s="23"/>
      <c r="FFR181" s="23"/>
      <c r="FFS181" s="23"/>
      <c r="FFT181" s="23"/>
      <c r="FFU181" s="23"/>
      <c r="FFV181" s="23"/>
      <c r="FFW181" s="23"/>
      <c r="FFX181" s="23"/>
      <c r="FFY181" s="23"/>
      <c r="FFZ181" s="23"/>
      <c r="FGA181" s="23"/>
      <c r="FGB181" s="23"/>
      <c r="FGC181" s="23"/>
      <c r="FGD181" s="23"/>
      <c r="FGE181" s="23"/>
      <c r="FGF181" s="23"/>
      <c r="FGG181" s="23"/>
      <c r="FGH181" s="23"/>
      <c r="FGI181" s="23"/>
      <c r="FGJ181" s="23"/>
      <c r="FGK181" s="23"/>
      <c r="FGL181" s="23"/>
      <c r="FGM181" s="23"/>
      <c r="FGN181" s="23"/>
      <c r="FGO181" s="23"/>
      <c r="FGP181" s="23"/>
      <c r="FGQ181" s="23"/>
      <c r="FGR181" s="23"/>
      <c r="FGS181" s="23"/>
      <c r="FGT181" s="23"/>
      <c r="FGU181" s="23"/>
      <c r="FGV181" s="23"/>
      <c r="FGW181" s="23"/>
      <c r="FGX181" s="23"/>
      <c r="FGY181" s="23"/>
      <c r="FGZ181" s="23"/>
      <c r="FHA181" s="23"/>
      <c r="FHB181" s="23"/>
      <c r="FHC181" s="23"/>
      <c r="FHD181" s="23"/>
      <c r="FHE181" s="23"/>
      <c r="FHF181" s="23"/>
      <c r="FHG181" s="23"/>
      <c r="FHH181" s="23"/>
      <c r="FHI181" s="23"/>
      <c r="FHJ181" s="23"/>
      <c r="FHK181" s="23"/>
      <c r="FHL181" s="23"/>
      <c r="FHM181" s="23"/>
      <c r="FHN181" s="23"/>
      <c r="FHO181" s="23"/>
      <c r="FHP181" s="23"/>
      <c r="FHQ181" s="23"/>
      <c r="FHR181" s="23"/>
      <c r="FHS181" s="23"/>
      <c r="FHT181" s="23"/>
      <c r="FHU181" s="23"/>
      <c r="FHV181" s="23"/>
      <c r="FHW181" s="23"/>
      <c r="FHX181" s="23"/>
      <c r="FHY181" s="23"/>
      <c r="FHZ181" s="23"/>
      <c r="FIA181" s="23"/>
      <c r="FIB181" s="23"/>
      <c r="FIC181" s="23"/>
      <c r="FID181" s="23"/>
      <c r="FIE181" s="23"/>
      <c r="FIF181" s="23"/>
      <c r="FIG181" s="23"/>
      <c r="FIH181" s="23"/>
      <c r="FII181" s="23"/>
      <c r="FIJ181" s="23"/>
      <c r="FIK181" s="23"/>
      <c r="FIL181" s="23"/>
      <c r="FIM181" s="23"/>
      <c r="FIN181" s="23"/>
      <c r="FIO181" s="23"/>
      <c r="FIP181" s="23"/>
      <c r="FIQ181" s="23"/>
      <c r="FIR181" s="23"/>
      <c r="FIS181" s="23"/>
      <c r="FIT181" s="23"/>
      <c r="FIU181" s="23"/>
      <c r="FIV181" s="23"/>
      <c r="FIW181" s="23"/>
      <c r="FIX181" s="23"/>
      <c r="FIY181" s="23"/>
      <c r="FIZ181" s="23"/>
      <c r="FJA181" s="23"/>
      <c r="FJB181" s="23"/>
      <c r="FJC181" s="23"/>
      <c r="FJD181" s="23"/>
      <c r="FJE181" s="23"/>
      <c r="FJF181" s="23"/>
      <c r="FJG181" s="23"/>
      <c r="FJH181" s="23"/>
      <c r="FJI181" s="23"/>
      <c r="FJJ181" s="23"/>
      <c r="FJK181" s="23"/>
      <c r="FJL181" s="23"/>
      <c r="FJM181" s="23"/>
      <c r="FJN181" s="23"/>
      <c r="FJO181" s="23"/>
      <c r="FJP181" s="23"/>
      <c r="FJQ181" s="23"/>
      <c r="FJR181" s="23"/>
      <c r="FJS181" s="23"/>
      <c r="FJT181" s="23"/>
      <c r="FJU181" s="23"/>
      <c r="FJV181" s="23"/>
      <c r="FJW181" s="23"/>
      <c r="FJX181" s="23"/>
      <c r="FJY181" s="23"/>
      <c r="FJZ181" s="23"/>
      <c r="FKA181" s="23"/>
      <c r="FKB181" s="23"/>
      <c r="FKC181" s="23"/>
      <c r="FKD181" s="23"/>
      <c r="FKE181" s="23"/>
      <c r="FKF181" s="23"/>
      <c r="FKG181" s="23"/>
      <c r="FKH181" s="23"/>
      <c r="FKI181" s="23"/>
      <c r="FKJ181" s="23"/>
      <c r="FKK181" s="23"/>
      <c r="FKL181" s="23"/>
      <c r="FKM181" s="23"/>
      <c r="FKN181" s="23"/>
      <c r="FKO181" s="23"/>
      <c r="FKP181" s="23"/>
      <c r="FKQ181" s="23"/>
      <c r="FKR181" s="23"/>
      <c r="FKS181" s="23"/>
      <c r="FKT181" s="23"/>
      <c r="FKU181" s="23"/>
      <c r="FKV181" s="23"/>
      <c r="FKW181" s="23"/>
      <c r="FKX181" s="23"/>
      <c r="FKY181" s="23"/>
      <c r="FKZ181" s="23"/>
      <c r="FLA181" s="23"/>
      <c r="FLB181" s="23"/>
      <c r="FLC181" s="23"/>
      <c r="FLD181" s="23"/>
      <c r="FLE181" s="23"/>
      <c r="FLF181" s="23"/>
      <c r="FLG181" s="23"/>
      <c r="FLH181" s="23"/>
      <c r="FLI181" s="23"/>
      <c r="FLJ181" s="23"/>
      <c r="FLK181" s="23"/>
      <c r="FLL181" s="23"/>
      <c r="FLM181" s="23"/>
      <c r="FLN181" s="23"/>
      <c r="FLO181" s="23"/>
      <c r="FLP181" s="23"/>
      <c r="FLQ181" s="23"/>
      <c r="FLR181" s="23"/>
      <c r="FLS181" s="23"/>
      <c r="FLT181" s="23"/>
      <c r="FLU181" s="23"/>
      <c r="FLV181" s="23"/>
      <c r="FLW181" s="23"/>
      <c r="FLX181" s="23"/>
      <c r="FLY181" s="23"/>
      <c r="FLZ181" s="23"/>
      <c r="FMA181" s="23"/>
      <c r="FMB181" s="23"/>
      <c r="FMC181" s="23"/>
      <c r="FMD181" s="23"/>
      <c r="FME181" s="23"/>
      <c r="FMF181" s="23"/>
      <c r="FMG181" s="23"/>
      <c r="FMH181" s="23"/>
      <c r="FMI181" s="23"/>
      <c r="FMJ181" s="23"/>
      <c r="FMK181" s="23"/>
      <c r="FML181" s="23"/>
      <c r="FMM181" s="23"/>
      <c r="FMN181" s="23"/>
      <c r="FMO181" s="23"/>
      <c r="FMP181" s="23"/>
      <c r="FMQ181" s="23"/>
      <c r="FMR181" s="23"/>
      <c r="FMS181" s="23"/>
      <c r="FMT181" s="23"/>
      <c r="FMU181" s="23"/>
      <c r="FMV181" s="23"/>
      <c r="FMW181" s="23"/>
      <c r="FMX181" s="23"/>
      <c r="FMY181" s="23"/>
      <c r="FMZ181" s="23"/>
      <c r="FNA181" s="23"/>
      <c r="FNB181" s="23"/>
      <c r="FNC181" s="23"/>
      <c r="FND181" s="23"/>
      <c r="FNE181" s="23"/>
      <c r="FNF181" s="23"/>
      <c r="FNG181" s="23"/>
      <c r="FNH181" s="23"/>
      <c r="FNI181" s="23"/>
      <c r="FNJ181" s="23"/>
      <c r="FNK181" s="23"/>
      <c r="FNL181" s="23"/>
      <c r="FNM181" s="23"/>
      <c r="FNN181" s="23"/>
      <c r="FNO181" s="23"/>
      <c r="FNP181" s="23"/>
      <c r="FNQ181" s="23"/>
      <c r="FNR181" s="23"/>
      <c r="FNS181" s="23"/>
      <c r="FNT181" s="23"/>
      <c r="FNU181" s="23"/>
      <c r="FNV181" s="23"/>
      <c r="FNW181" s="23"/>
      <c r="FNX181" s="23"/>
      <c r="FNY181" s="23"/>
      <c r="FNZ181" s="23"/>
      <c r="FOA181" s="23"/>
      <c r="FOB181" s="23"/>
      <c r="FOC181" s="23"/>
      <c r="FOD181" s="23"/>
      <c r="FOE181" s="23"/>
      <c r="FOF181" s="23"/>
      <c r="FOG181" s="23"/>
      <c r="FOH181" s="23"/>
      <c r="FOI181" s="23"/>
      <c r="FOJ181" s="23"/>
      <c r="FOK181" s="23"/>
      <c r="FOL181" s="23"/>
      <c r="FOM181" s="23"/>
      <c r="FON181" s="23"/>
      <c r="FOO181" s="23"/>
      <c r="FOP181" s="23"/>
      <c r="FOQ181" s="23"/>
      <c r="FOR181" s="23"/>
      <c r="FOS181" s="23"/>
      <c r="FOT181" s="23"/>
      <c r="FOU181" s="23"/>
      <c r="FOV181" s="23"/>
      <c r="FOW181" s="23"/>
      <c r="FOX181" s="23"/>
      <c r="FOY181" s="23"/>
      <c r="FOZ181" s="23"/>
      <c r="FPA181" s="23"/>
      <c r="FPB181" s="23"/>
      <c r="FPC181" s="23"/>
      <c r="FPD181" s="23"/>
      <c r="FPE181" s="23"/>
      <c r="FPF181" s="23"/>
      <c r="FPG181" s="23"/>
      <c r="FPH181" s="23"/>
      <c r="FPI181" s="23"/>
      <c r="FPJ181" s="23"/>
      <c r="FPK181" s="23"/>
      <c r="FPL181" s="23"/>
      <c r="FPM181" s="23"/>
      <c r="FPN181" s="23"/>
      <c r="FPO181" s="23"/>
      <c r="FPP181" s="23"/>
      <c r="FPQ181" s="23"/>
      <c r="FPR181" s="23"/>
      <c r="FPS181" s="23"/>
      <c r="FPT181" s="23"/>
      <c r="FPU181" s="23"/>
      <c r="FPV181" s="23"/>
      <c r="FPW181" s="23"/>
      <c r="FPX181" s="23"/>
      <c r="FPY181" s="23"/>
      <c r="FPZ181" s="23"/>
      <c r="FQA181" s="23"/>
      <c r="FQB181" s="23"/>
      <c r="FQC181" s="23"/>
      <c r="FQD181" s="23"/>
      <c r="FQE181" s="23"/>
      <c r="FQF181" s="23"/>
      <c r="FQG181" s="23"/>
      <c r="FQH181" s="23"/>
      <c r="FQI181" s="23"/>
      <c r="FQJ181" s="23"/>
      <c r="FQK181" s="23"/>
      <c r="FQL181" s="23"/>
      <c r="FQM181" s="23"/>
      <c r="FQN181" s="23"/>
      <c r="FQO181" s="23"/>
      <c r="FQP181" s="23"/>
      <c r="FQQ181" s="23"/>
      <c r="FQR181" s="23"/>
      <c r="FQS181" s="23"/>
      <c r="FQT181" s="23"/>
      <c r="FQU181" s="23"/>
      <c r="FQV181" s="23"/>
      <c r="FQW181" s="23"/>
      <c r="FQX181" s="23"/>
      <c r="FQY181" s="23"/>
      <c r="FQZ181" s="23"/>
      <c r="FRA181" s="23"/>
      <c r="FRB181" s="23"/>
      <c r="FRC181" s="23"/>
      <c r="FRD181" s="23"/>
      <c r="FRE181" s="23"/>
      <c r="FRF181" s="23"/>
      <c r="FRG181" s="23"/>
      <c r="FRH181" s="23"/>
      <c r="FRI181" s="23"/>
      <c r="FRJ181" s="23"/>
      <c r="FRK181" s="23"/>
      <c r="FRL181" s="23"/>
      <c r="FRM181" s="23"/>
      <c r="FRN181" s="23"/>
      <c r="FRO181" s="23"/>
      <c r="FRP181" s="23"/>
      <c r="FRQ181" s="23"/>
      <c r="FRR181" s="23"/>
      <c r="FRS181" s="23"/>
      <c r="FRT181" s="23"/>
      <c r="FRU181" s="23"/>
      <c r="FRV181" s="23"/>
      <c r="FRW181" s="23"/>
      <c r="FRX181" s="23"/>
      <c r="FRY181" s="23"/>
      <c r="FRZ181" s="23"/>
      <c r="FSA181" s="23"/>
      <c r="FSB181" s="23"/>
      <c r="FSC181" s="23"/>
      <c r="FSD181" s="23"/>
      <c r="FSE181" s="23"/>
      <c r="FSF181" s="23"/>
      <c r="FSG181" s="23"/>
      <c r="FSH181" s="23"/>
      <c r="FSI181" s="23"/>
      <c r="FSJ181" s="23"/>
      <c r="FSK181" s="23"/>
      <c r="FSL181" s="23"/>
      <c r="FSM181" s="23"/>
      <c r="FSN181" s="23"/>
      <c r="FSO181" s="23"/>
      <c r="FSP181" s="23"/>
      <c r="FSQ181" s="23"/>
      <c r="FSR181" s="23"/>
      <c r="FSS181" s="23"/>
      <c r="FST181" s="23"/>
      <c r="FSU181" s="23"/>
      <c r="FSV181" s="23"/>
      <c r="FSW181" s="23"/>
      <c r="FSX181" s="23"/>
      <c r="FSY181" s="23"/>
      <c r="FSZ181" s="23"/>
      <c r="FTA181" s="23"/>
      <c r="FTB181" s="23"/>
      <c r="FTC181" s="23"/>
      <c r="FTD181" s="23"/>
      <c r="FTE181" s="23"/>
      <c r="FTF181" s="23"/>
      <c r="FTG181" s="23"/>
      <c r="FTH181" s="23"/>
      <c r="FTI181" s="23"/>
      <c r="FTJ181" s="23"/>
      <c r="FTK181" s="23"/>
      <c r="FTL181" s="23"/>
      <c r="FTM181" s="23"/>
      <c r="FTN181" s="23"/>
      <c r="FTO181" s="23"/>
      <c r="FTP181" s="23"/>
      <c r="FTQ181" s="23"/>
      <c r="FTR181" s="23"/>
      <c r="FTS181" s="23"/>
      <c r="FTT181" s="23"/>
      <c r="FTU181" s="23"/>
      <c r="FTV181" s="23"/>
      <c r="FTW181" s="23"/>
      <c r="FTX181" s="23"/>
      <c r="FTY181" s="23"/>
      <c r="FTZ181" s="23"/>
      <c r="FUA181" s="23"/>
      <c r="FUB181" s="23"/>
      <c r="FUC181" s="23"/>
      <c r="FUD181" s="23"/>
      <c r="FUE181" s="23"/>
      <c r="FUF181" s="23"/>
      <c r="FUG181" s="23"/>
      <c r="FUH181" s="23"/>
      <c r="FUI181" s="23"/>
      <c r="FUJ181" s="23"/>
      <c r="FUK181" s="23"/>
      <c r="FUL181" s="23"/>
      <c r="FUM181" s="23"/>
      <c r="FUN181" s="23"/>
      <c r="FUO181" s="23"/>
      <c r="FUP181" s="23"/>
      <c r="FUQ181" s="23"/>
      <c r="FUR181" s="23"/>
      <c r="FUS181" s="23"/>
      <c r="FUT181" s="23"/>
      <c r="FUU181" s="23"/>
      <c r="FUV181" s="23"/>
      <c r="FUW181" s="23"/>
      <c r="FUX181" s="23"/>
      <c r="FUY181" s="23"/>
      <c r="FUZ181" s="23"/>
      <c r="FVA181" s="23"/>
      <c r="FVB181" s="23"/>
      <c r="FVC181" s="23"/>
      <c r="FVD181" s="23"/>
      <c r="FVE181" s="23"/>
      <c r="FVF181" s="23"/>
      <c r="FVG181" s="23"/>
      <c r="FVH181" s="23"/>
      <c r="FVI181" s="23"/>
      <c r="FVJ181" s="23"/>
      <c r="FVK181" s="23"/>
      <c r="FVL181" s="23"/>
      <c r="FVM181" s="23"/>
      <c r="FVN181" s="23"/>
      <c r="FVO181" s="23"/>
      <c r="FVP181" s="23"/>
      <c r="FVQ181" s="23"/>
      <c r="FVR181" s="23"/>
      <c r="FVS181" s="23"/>
      <c r="FVT181" s="23"/>
      <c r="FVU181" s="23"/>
      <c r="FVV181" s="23"/>
      <c r="FVW181" s="23"/>
      <c r="FVX181" s="23"/>
      <c r="FVY181" s="23"/>
      <c r="FVZ181" s="23"/>
      <c r="FWA181" s="23"/>
      <c r="FWB181" s="23"/>
      <c r="FWC181" s="23"/>
      <c r="FWD181" s="23"/>
      <c r="FWE181" s="23"/>
      <c r="FWF181" s="23"/>
      <c r="FWG181" s="23"/>
      <c r="FWH181" s="23"/>
      <c r="FWI181" s="23"/>
      <c r="FWJ181" s="23"/>
      <c r="FWK181" s="23"/>
      <c r="FWL181" s="23"/>
      <c r="FWM181" s="23"/>
      <c r="FWN181" s="23"/>
      <c r="FWO181" s="23"/>
      <c r="FWP181" s="23"/>
      <c r="FWQ181" s="23"/>
      <c r="FWR181" s="23"/>
      <c r="FWS181" s="23"/>
      <c r="FWT181" s="23"/>
      <c r="FWU181" s="23"/>
      <c r="FWV181" s="23"/>
      <c r="FWW181" s="23"/>
      <c r="FWX181" s="23"/>
      <c r="FWY181" s="23"/>
      <c r="FWZ181" s="23"/>
      <c r="FXA181" s="23"/>
      <c r="FXB181" s="23"/>
      <c r="FXC181" s="23"/>
      <c r="FXD181" s="23"/>
      <c r="FXE181" s="23"/>
      <c r="FXF181" s="23"/>
      <c r="FXG181" s="23"/>
      <c r="FXH181" s="23"/>
      <c r="FXI181" s="23"/>
      <c r="FXJ181" s="23"/>
      <c r="FXK181" s="23"/>
      <c r="FXL181" s="23"/>
      <c r="FXM181" s="23"/>
      <c r="FXN181" s="23"/>
      <c r="FXO181" s="23"/>
      <c r="FXP181" s="23"/>
      <c r="FXQ181" s="23"/>
      <c r="FXR181" s="23"/>
      <c r="FXS181" s="23"/>
      <c r="FXT181" s="23"/>
      <c r="FXU181" s="23"/>
      <c r="FXV181" s="23"/>
      <c r="FXW181" s="23"/>
      <c r="FXX181" s="23"/>
      <c r="FXY181" s="23"/>
      <c r="FXZ181" s="23"/>
      <c r="FYA181" s="23"/>
      <c r="FYB181" s="23"/>
      <c r="FYC181" s="23"/>
      <c r="FYD181" s="23"/>
      <c r="FYE181" s="23"/>
      <c r="FYF181" s="23"/>
      <c r="FYG181" s="23"/>
      <c r="FYH181" s="23"/>
      <c r="FYI181" s="23"/>
      <c r="FYJ181" s="23"/>
      <c r="FYK181" s="23"/>
      <c r="FYL181" s="23"/>
      <c r="FYM181" s="23"/>
      <c r="FYN181" s="23"/>
      <c r="FYO181" s="23"/>
      <c r="FYP181" s="23"/>
      <c r="FYQ181" s="23"/>
      <c r="FYR181" s="23"/>
      <c r="FYS181" s="23"/>
      <c r="FYT181" s="23"/>
      <c r="FYU181" s="23"/>
      <c r="FYV181" s="23"/>
      <c r="FYW181" s="23"/>
      <c r="FYX181" s="23"/>
      <c r="FYY181" s="23"/>
      <c r="FYZ181" s="23"/>
      <c r="FZA181" s="23"/>
      <c r="FZB181" s="23"/>
      <c r="FZC181" s="23"/>
      <c r="FZD181" s="23"/>
      <c r="FZE181" s="23"/>
      <c r="FZF181" s="23"/>
      <c r="FZG181" s="23"/>
      <c r="FZH181" s="23"/>
      <c r="FZI181" s="23"/>
      <c r="FZJ181" s="23"/>
      <c r="FZK181" s="23"/>
      <c r="FZL181" s="23"/>
      <c r="FZM181" s="23"/>
      <c r="FZN181" s="23"/>
      <c r="FZO181" s="23"/>
      <c r="FZP181" s="23"/>
      <c r="FZQ181" s="23"/>
      <c r="FZR181" s="23"/>
      <c r="FZS181" s="23"/>
      <c r="FZT181" s="23"/>
      <c r="FZU181" s="23"/>
      <c r="FZV181" s="23"/>
      <c r="FZW181" s="23"/>
      <c r="FZX181" s="23"/>
      <c r="FZY181" s="23"/>
      <c r="FZZ181" s="23"/>
      <c r="GAA181" s="23"/>
      <c r="GAB181" s="23"/>
      <c r="GAC181" s="23"/>
      <c r="GAD181" s="23"/>
      <c r="GAE181" s="23"/>
      <c r="GAF181" s="23"/>
      <c r="GAG181" s="23"/>
      <c r="GAH181" s="23"/>
      <c r="GAI181" s="23"/>
      <c r="GAJ181" s="23"/>
      <c r="GAK181" s="23"/>
      <c r="GAL181" s="23"/>
      <c r="GAM181" s="23"/>
      <c r="GAN181" s="23"/>
      <c r="GAO181" s="23"/>
      <c r="GAP181" s="23"/>
      <c r="GAQ181" s="23"/>
      <c r="GAR181" s="23"/>
      <c r="GAS181" s="23"/>
      <c r="GAT181" s="23"/>
      <c r="GAU181" s="23"/>
      <c r="GAV181" s="23"/>
      <c r="GAW181" s="23"/>
      <c r="GAX181" s="23"/>
      <c r="GAY181" s="23"/>
      <c r="GAZ181" s="23"/>
      <c r="GBA181" s="23"/>
      <c r="GBB181" s="23"/>
      <c r="GBC181" s="23"/>
      <c r="GBD181" s="23"/>
      <c r="GBE181" s="23"/>
      <c r="GBF181" s="23"/>
      <c r="GBG181" s="23"/>
      <c r="GBH181" s="23"/>
      <c r="GBI181" s="23"/>
      <c r="GBJ181" s="23"/>
      <c r="GBK181" s="23"/>
      <c r="GBL181" s="23"/>
      <c r="GBM181" s="23"/>
      <c r="GBN181" s="23"/>
      <c r="GBO181" s="23"/>
      <c r="GBP181" s="23"/>
      <c r="GBQ181" s="23"/>
      <c r="GBR181" s="23"/>
      <c r="GBS181" s="23"/>
      <c r="GBT181" s="23"/>
      <c r="GBU181" s="23"/>
      <c r="GBV181" s="23"/>
      <c r="GBW181" s="23"/>
      <c r="GBX181" s="23"/>
      <c r="GBY181" s="23"/>
      <c r="GBZ181" s="23"/>
      <c r="GCA181" s="23"/>
      <c r="GCB181" s="23"/>
      <c r="GCC181" s="23"/>
      <c r="GCD181" s="23"/>
      <c r="GCE181" s="23"/>
      <c r="GCF181" s="23"/>
      <c r="GCG181" s="23"/>
      <c r="GCH181" s="23"/>
      <c r="GCI181" s="23"/>
      <c r="GCJ181" s="23"/>
      <c r="GCK181" s="23"/>
      <c r="GCL181" s="23"/>
      <c r="GCM181" s="23"/>
      <c r="GCN181" s="23"/>
      <c r="GCO181" s="23"/>
      <c r="GCP181" s="23"/>
      <c r="GCQ181" s="23"/>
      <c r="GCR181" s="23"/>
      <c r="GCS181" s="23"/>
      <c r="GCT181" s="23"/>
      <c r="GCU181" s="23"/>
      <c r="GCV181" s="23"/>
      <c r="GCW181" s="23"/>
      <c r="GCX181" s="23"/>
      <c r="GCY181" s="23"/>
      <c r="GCZ181" s="23"/>
      <c r="GDA181" s="23"/>
      <c r="GDB181" s="23"/>
      <c r="GDC181" s="23"/>
      <c r="GDD181" s="23"/>
      <c r="GDE181" s="23"/>
      <c r="GDF181" s="23"/>
      <c r="GDG181" s="23"/>
      <c r="GDH181" s="23"/>
      <c r="GDI181" s="23"/>
      <c r="GDJ181" s="23"/>
      <c r="GDK181" s="23"/>
      <c r="GDL181" s="23"/>
      <c r="GDM181" s="23"/>
      <c r="GDN181" s="23"/>
      <c r="GDO181" s="23"/>
      <c r="GDP181" s="23"/>
      <c r="GDQ181" s="23"/>
      <c r="GDR181" s="23"/>
      <c r="GDS181" s="23"/>
      <c r="GDT181" s="23"/>
      <c r="GDU181" s="23"/>
      <c r="GDV181" s="23"/>
      <c r="GDW181" s="23"/>
      <c r="GDX181" s="23"/>
      <c r="GDY181" s="23"/>
      <c r="GDZ181" s="23"/>
      <c r="GEA181" s="23"/>
      <c r="GEB181" s="23"/>
      <c r="GEC181" s="23"/>
      <c r="GED181" s="23"/>
      <c r="GEE181" s="23"/>
      <c r="GEF181" s="23"/>
      <c r="GEG181" s="23"/>
      <c r="GEH181" s="23"/>
      <c r="GEI181" s="23"/>
      <c r="GEJ181" s="23"/>
      <c r="GEK181" s="23"/>
      <c r="GEL181" s="23"/>
      <c r="GEM181" s="23"/>
      <c r="GEN181" s="23"/>
      <c r="GEO181" s="23"/>
      <c r="GEP181" s="23"/>
      <c r="GEQ181" s="23"/>
      <c r="GER181" s="23"/>
      <c r="GES181" s="23"/>
      <c r="GET181" s="23"/>
      <c r="GEU181" s="23"/>
      <c r="GEV181" s="23"/>
      <c r="GEW181" s="23"/>
      <c r="GEX181" s="23"/>
      <c r="GEY181" s="23"/>
      <c r="GEZ181" s="23"/>
      <c r="GFA181" s="23"/>
      <c r="GFB181" s="23"/>
      <c r="GFC181" s="23"/>
      <c r="GFD181" s="23"/>
      <c r="GFE181" s="23"/>
      <c r="GFF181" s="23"/>
      <c r="GFG181" s="23"/>
      <c r="GFH181" s="23"/>
      <c r="GFI181" s="23"/>
      <c r="GFJ181" s="23"/>
      <c r="GFK181" s="23"/>
      <c r="GFL181" s="23"/>
      <c r="GFM181" s="23"/>
      <c r="GFN181" s="23"/>
      <c r="GFO181" s="23"/>
      <c r="GFP181" s="23"/>
      <c r="GFQ181" s="23"/>
      <c r="GFR181" s="23"/>
      <c r="GFS181" s="23"/>
      <c r="GFT181" s="23"/>
      <c r="GFU181" s="23"/>
      <c r="GFV181" s="23"/>
      <c r="GFW181" s="23"/>
      <c r="GFX181" s="23"/>
      <c r="GFY181" s="23"/>
      <c r="GFZ181" s="23"/>
      <c r="GGA181" s="23"/>
      <c r="GGB181" s="23"/>
      <c r="GGC181" s="23"/>
      <c r="GGD181" s="23"/>
      <c r="GGE181" s="23"/>
      <c r="GGF181" s="23"/>
      <c r="GGG181" s="23"/>
      <c r="GGH181" s="23"/>
      <c r="GGI181" s="23"/>
      <c r="GGJ181" s="23"/>
      <c r="GGK181" s="23"/>
      <c r="GGL181" s="23"/>
      <c r="GGM181" s="23"/>
      <c r="GGN181" s="23"/>
      <c r="GGO181" s="23"/>
      <c r="GGP181" s="23"/>
      <c r="GGQ181" s="23"/>
      <c r="GGR181" s="23"/>
      <c r="GGS181" s="23"/>
      <c r="GGT181" s="23"/>
      <c r="GGU181" s="23"/>
      <c r="GGV181" s="23"/>
      <c r="GGW181" s="23"/>
      <c r="GGX181" s="23"/>
      <c r="GGY181" s="23"/>
      <c r="GGZ181" s="23"/>
      <c r="GHA181" s="23"/>
      <c r="GHB181" s="23"/>
      <c r="GHC181" s="23"/>
      <c r="GHD181" s="23"/>
      <c r="GHE181" s="23"/>
      <c r="GHF181" s="23"/>
      <c r="GHG181" s="23"/>
      <c r="GHH181" s="23"/>
      <c r="GHI181" s="23"/>
      <c r="GHJ181" s="23"/>
      <c r="GHK181" s="23"/>
      <c r="GHL181" s="23"/>
      <c r="GHM181" s="23"/>
      <c r="GHN181" s="23"/>
      <c r="GHO181" s="23"/>
      <c r="GHP181" s="23"/>
      <c r="GHQ181" s="23"/>
      <c r="GHR181" s="23"/>
      <c r="GHS181" s="23"/>
      <c r="GHT181" s="23"/>
      <c r="GHU181" s="23"/>
      <c r="GHV181" s="23"/>
      <c r="GHW181" s="23"/>
      <c r="GHX181" s="23"/>
      <c r="GHY181" s="23"/>
      <c r="GHZ181" s="23"/>
      <c r="GIA181" s="23"/>
      <c r="GIB181" s="23"/>
      <c r="GIC181" s="23"/>
      <c r="GID181" s="23"/>
      <c r="GIE181" s="23"/>
      <c r="GIF181" s="23"/>
      <c r="GIG181" s="23"/>
      <c r="GIH181" s="23"/>
      <c r="GII181" s="23"/>
      <c r="GIJ181" s="23"/>
      <c r="GIK181" s="23"/>
      <c r="GIL181" s="23"/>
      <c r="GIM181" s="23"/>
      <c r="GIN181" s="23"/>
      <c r="GIO181" s="23"/>
      <c r="GIP181" s="23"/>
      <c r="GIQ181" s="23"/>
      <c r="GIR181" s="23"/>
      <c r="GIS181" s="23"/>
      <c r="GIT181" s="23"/>
      <c r="GIU181" s="23"/>
      <c r="GIV181" s="23"/>
      <c r="GIW181" s="23"/>
      <c r="GIX181" s="23"/>
      <c r="GIY181" s="23"/>
      <c r="GIZ181" s="23"/>
      <c r="GJA181" s="23"/>
      <c r="GJB181" s="23"/>
      <c r="GJC181" s="23"/>
      <c r="GJD181" s="23"/>
      <c r="GJE181" s="23"/>
      <c r="GJF181" s="23"/>
      <c r="GJG181" s="23"/>
      <c r="GJH181" s="23"/>
      <c r="GJI181" s="23"/>
      <c r="GJJ181" s="23"/>
      <c r="GJK181" s="23"/>
      <c r="GJL181" s="23"/>
      <c r="GJM181" s="23"/>
      <c r="GJN181" s="23"/>
      <c r="GJO181" s="23"/>
      <c r="GJP181" s="23"/>
      <c r="GJQ181" s="23"/>
      <c r="GJR181" s="23"/>
      <c r="GJS181" s="23"/>
      <c r="GJT181" s="23"/>
      <c r="GJU181" s="23"/>
      <c r="GJV181" s="23"/>
      <c r="GJW181" s="23"/>
      <c r="GJX181" s="23"/>
      <c r="GJY181" s="23"/>
      <c r="GJZ181" s="23"/>
      <c r="GKA181" s="23"/>
      <c r="GKB181" s="23"/>
      <c r="GKC181" s="23"/>
      <c r="GKD181" s="23"/>
      <c r="GKE181" s="23"/>
      <c r="GKF181" s="23"/>
      <c r="GKG181" s="23"/>
      <c r="GKH181" s="23"/>
      <c r="GKI181" s="23"/>
      <c r="GKJ181" s="23"/>
      <c r="GKK181" s="23"/>
      <c r="GKL181" s="23"/>
      <c r="GKM181" s="23"/>
      <c r="GKN181" s="23"/>
      <c r="GKO181" s="23"/>
      <c r="GKP181" s="23"/>
      <c r="GKQ181" s="23"/>
      <c r="GKR181" s="23"/>
      <c r="GKS181" s="23"/>
      <c r="GKT181" s="23"/>
      <c r="GKU181" s="23"/>
      <c r="GKV181" s="23"/>
      <c r="GKW181" s="23"/>
      <c r="GKX181" s="23"/>
      <c r="GKY181" s="23"/>
      <c r="GKZ181" s="23"/>
      <c r="GLA181" s="23"/>
      <c r="GLB181" s="23"/>
      <c r="GLC181" s="23"/>
      <c r="GLD181" s="23"/>
      <c r="GLE181" s="23"/>
      <c r="GLF181" s="23"/>
      <c r="GLG181" s="23"/>
      <c r="GLH181" s="23"/>
      <c r="GLI181" s="23"/>
      <c r="GLJ181" s="23"/>
      <c r="GLK181" s="23"/>
      <c r="GLL181" s="23"/>
      <c r="GLM181" s="23"/>
      <c r="GLN181" s="23"/>
      <c r="GLO181" s="23"/>
      <c r="GLP181" s="23"/>
      <c r="GLQ181" s="23"/>
      <c r="GLR181" s="23"/>
      <c r="GLS181" s="23"/>
      <c r="GLT181" s="23"/>
      <c r="GLU181" s="23"/>
      <c r="GLV181" s="23"/>
      <c r="GLW181" s="23"/>
      <c r="GLX181" s="23"/>
      <c r="GLY181" s="23"/>
      <c r="GLZ181" s="23"/>
      <c r="GMA181" s="23"/>
      <c r="GMB181" s="23"/>
      <c r="GMC181" s="23"/>
      <c r="GMD181" s="23"/>
      <c r="GME181" s="23"/>
      <c r="GMF181" s="23"/>
      <c r="GMG181" s="23"/>
      <c r="GMH181" s="23"/>
      <c r="GMI181" s="23"/>
      <c r="GMJ181" s="23"/>
      <c r="GMK181" s="23"/>
      <c r="GML181" s="23"/>
      <c r="GMM181" s="23"/>
      <c r="GMN181" s="23"/>
      <c r="GMO181" s="23"/>
      <c r="GMP181" s="23"/>
      <c r="GMQ181" s="23"/>
      <c r="GMR181" s="23"/>
      <c r="GMS181" s="23"/>
      <c r="GMT181" s="23"/>
      <c r="GMU181" s="23"/>
      <c r="GMV181" s="23"/>
      <c r="GMW181" s="23"/>
      <c r="GMX181" s="23"/>
      <c r="GMY181" s="23"/>
      <c r="GMZ181" s="23"/>
      <c r="GNA181" s="23"/>
      <c r="GNB181" s="23"/>
      <c r="GNC181" s="23"/>
      <c r="GND181" s="23"/>
      <c r="GNE181" s="23"/>
      <c r="GNF181" s="23"/>
      <c r="GNG181" s="23"/>
      <c r="GNH181" s="23"/>
      <c r="GNI181" s="23"/>
      <c r="GNJ181" s="23"/>
      <c r="GNK181" s="23"/>
      <c r="GNL181" s="23"/>
      <c r="GNM181" s="23"/>
      <c r="GNN181" s="23"/>
      <c r="GNO181" s="23"/>
      <c r="GNP181" s="23"/>
      <c r="GNQ181" s="23"/>
      <c r="GNR181" s="23"/>
      <c r="GNS181" s="23"/>
      <c r="GNT181" s="23"/>
      <c r="GNU181" s="23"/>
      <c r="GNV181" s="23"/>
      <c r="GNW181" s="23"/>
      <c r="GNX181" s="23"/>
      <c r="GNY181" s="23"/>
      <c r="GNZ181" s="23"/>
      <c r="GOA181" s="23"/>
      <c r="GOB181" s="23"/>
      <c r="GOC181" s="23"/>
      <c r="GOD181" s="23"/>
      <c r="GOE181" s="23"/>
      <c r="GOF181" s="23"/>
      <c r="GOG181" s="23"/>
      <c r="GOH181" s="23"/>
      <c r="GOI181" s="23"/>
      <c r="GOJ181" s="23"/>
      <c r="GOK181" s="23"/>
      <c r="GOL181" s="23"/>
      <c r="GOM181" s="23"/>
      <c r="GON181" s="23"/>
      <c r="GOO181" s="23"/>
      <c r="GOP181" s="23"/>
      <c r="GOQ181" s="23"/>
      <c r="GOR181" s="23"/>
      <c r="GOS181" s="23"/>
      <c r="GOT181" s="23"/>
      <c r="GOU181" s="23"/>
      <c r="GOV181" s="23"/>
      <c r="GOW181" s="23"/>
      <c r="GOX181" s="23"/>
      <c r="GOY181" s="23"/>
      <c r="GOZ181" s="23"/>
      <c r="GPA181" s="23"/>
      <c r="GPB181" s="23"/>
      <c r="GPC181" s="23"/>
      <c r="GPD181" s="23"/>
      <c r="GPE181" s="23"/>
      <c r="GPF181" s="23"/>
      <c r="GPG181" s="23"/>
      <c r="GPH181" s="23"/>
      <c r="GPI181" s="23"/>
      <c r="GPJ181" s="23"/>
      <c r="GPK181" s="23"/>
      <c r="GPL181" s="23"/>
      <c r="GPM181" s="23"/>
      <c r="GPN181" s="23"/>
      <c r="GPO181" s="23"/>
      <c r="GPP181" s="23"/>
      <c r="GPQ181" s="23"/>
      <c r="GPR181" s="23"/>
      <c r="GPS181" s="23"/>
      <c r="GPT181" s="23"/>
      <c r="GPU181" s="23"/>
      <c r="GPV181" s="23"/>
      <c r="GPW181" s="23"/>
      <c r="GPX181" s="23"/>
      <c r="GPY181" s="23"/>
      <c r="GPZ181" s="23"/>
      <c r="GQA181" s="23"/>
      <c r="GQB181" s="23"/>
      <c r="GQC181" s="23"/>
      <c r="GQD181" s="23"/>
      <c r="GQE181" s="23"/>
      <c r="GQF181" s="23"/>
      <c r="GQG181" s="23"/>
      <c r="GQH181" s="23"/>
      <c r="GQI181" s="23"/>
      <c r="GQJ181" s="23"/>
      <c r="GQK181" s="23"/>
      <c r="GQL181" s="23"/>
      <c r="GQM181" s="23"/>
      <c r="GQN181" s="23"/>
      <c r="GQO181" s="23"/>
      <c r="GQP181" s="23"/>
      <c r="GQQ181" s="23"/>
      <c r="GQR181" s="23"/>
      <c r="GQS181" s="23"/>
      <c r="GQT181" s="23"/>
      <c r="GQU181" s="23"/>
      <c r="GQV181" s="23"/>
      <c r="GQW181" s="23"/>
      <c r="GQX181" s="23"/>
      <c r="GQY181" s="23"/>
      <c r="GQZ181" s="23"/>
      <c r="GRA181" s="23"/>
      <c r="GRB181" s="23"/>
      <c r="GRC181" s="23"/>
      <c r="GRD181" s="23"/>
      <c r="GRE181" s="23"/>
      <c r="GRF181" s="23"/>
      <c r="GRG181" s="23"/>
      <c r="GRH181" s="23"/>
      <c r="GRI181" s="23"/>
      <c r="GRJ181" s="23"/>
      <c r="GRK181" s="23"/>
      <c r="GRL181" s="23"/>
      <c r="GRM181" s="23"/>
      <c r="GRN181" s="23"/>
      <c r="GRO181" s="23"/>
      <c r="GRP181" s="23"/>
      <c r="GRQ181" s="23"/>
      <c r="GRR181" s="23"/>
      <c r="GRS181" s="23"/>
      <c r="GRT181" s="23"/>
      <c r="GRU181" s="23"/>
      <c r="GRV181" s="23"/>
      <c r="GRW181" s="23"/>
      <c r="GRX181" s="23"/>
      <c r="GRY181" s="23"/>
      <c r="GRZ181" s="23"/>
      <c r="GSA181" s="23"/>
      <c r="GSB181" s="23"/>
      <c r="GSC181" s="23"/>
      <c r="GSD181" s="23"/>
      <c r="GSE181" s="23"/>
      <c r="GSF181" s="23"/>
      <c r="GSG181" s="23"/>
      <c r="GSH181" s="23"/>
      <c r="GSI181" s="23"/>
      <c r="GSJ181" s="23"/>
      <c r="GSK181" s="23"/>
      <c r="GSL181" s="23"/>
      <c r="GSM181" s="23"/>
      <c r="GSN181" s="23"/>
      <c r="GSO181" s="23"/>
      <c r="GSP181" s="23"/>
      <c r="GSQ181" s="23"/>
      <c r="GSR181" s="23"/>
      <c r="GSS181" s="23"/>
      <c r="GST181" s="23"/>
      <c r="GSU181" s="23"/>
      <c r="GSV181" s="23"/>
      <c r="GSW181" s="23"/>
      <c r="GSX181" s="23"/>
      <c r="GSY181" s="23"/>
      <c r="GSZ181" s="23"/>
      <c r="GTA181" s="23"/>
      <c r="GTB181" s="23"/>
      <c r="GTC181" s="23"/>
      <c r="GTD181" s="23"/>
      <c r="GTE181" s="23"/>
      <c r="GTF181" s="23"/>
      <c r="GTG181" s="23"/>
      <c r="GTH181" s="23"/>
      <c r="GTI181" s="23"/>
      <c r="GTJ181" s="23"/>
      <c r="GTK181" s="23"/>
      <c r="GTL181" s="23"/>
      <c r="GTM181" s="23"/>
      <c r="GTN181" s="23"/>
      <c r="GTO181" s="23"/>
      <c r="GTP181" s="23"/>
      <c r="GTQ181" s="23"/>
      <c r="GTR181" s="23"/>
      <c r="GTS181" s="23"/>
      <c r="GTT181" s="23"/>
      <c r="GTU181" s="23"/>
      <c r="GTV181" s="23"/>
      <c r="GTW181" s="23"/>
      <c r="GTX181" s="23"/>
      <c r="GTY181" s="23"/>
      <c r="GTZ181" s="23"/>
      <c r="GUA181" s="23"/>
      <c r="GUB181" s="23"/>
      <c r="GUC181" s="23"/>
      <c r="GUD181" s="23"/>
      <c r="GUE181" s="23"/>
      <c r="GUF181" s="23"/>
      <c r="GUG181" s="23"/>
      <c r="GUH181" s="23"/>
      <c r="GUI181" s="23"/>
      <c r="GUJ181" s="23"/>
      <c r="GUK181" s="23"/>
      <c r="GUL181" s="23"/>
      <c r="GUM181" s="23"/>
      <c r="GUN181" s="23"/>
      <c r="GUO181" s="23"/>
      <c r="GUP181" s="23"/>
      <c r="GUQ181" s="23"/>
      <c r="GUR181" s="23"/>
      <c r="GUS181" s="23"/>
      <c r="GUT181" s="23"/>
      <c r="GUU181" s="23"/>
      <c r="GUV181" s="23"/>
      <c r="GUW181" s="23"/>
      <c r="GUX181" s="23"/>
      <c r="GUY181" s="23"/>
      <c r="GUZ181" s="23"/>
      <c r="GVA181" s="23"/>
      <c r="GVB181" s="23"/>
      <c r="GVC181" s="23"/>
      <c r="GVD181" s="23"/>
      <c r="GVE181" s="23"/>
      <c r="GVF181" s="23"/>
      <c r="GVG181" s="23"/>
      <c r="GVH181" s="23"/>
      <c r="GVI181" s="23"/>
      <c r="GVJ181" s="23"/>
      <c r="GVK181" s="23"/>
      <c r="GVL181" s="23"/>
      <c r="GVM181" s="23"/>
      <c r="GVN181" s="23"/>
      <c r="GVO181" s="23"/>
      <c r="GVP181" s="23"/>
      <c r="GVQ181" s="23"/>
      <c r="GVR181" s="23"/>
      <c r="GVS181" s="23"/>
      <c r="GVT181" s="23"/>
      <c r="GVU181" s="23"/>
      <c r="GVV181" s="23"/>
      <c r="GVW181" s="23"/>
      <c r="GVX181" s="23"/>
      <c r="GVY181" s="23"/>
      <c r="GVZ181" s="23"/>
      <c r="GWA181" s="23"/>
      <c r="GWB181" s="23"/>
      <c r="GWC181" s="23"/>
      <c r="GWD181" s="23"/>
      <c r="GWE181" s="23"/>
      <c r="GWF181" s="23"/>
      <c r="GWG181" s="23"/>
      <c r="GWH181" s="23"/>
      <c r="GWI181" s="23"/>
      <c r="GWJ181" s="23"/>
      <c r="GWK181" s="23"/>
      <c r="GWL181" s="23"/>
      <c r="GWM181" s="23"/>
      <c r="GWN181" s="23"/>
      <c r="GWO181" s="23"/>
      <c r="GWP181" s="23"/>
      <c r="GWQ181" s="23"/>
      <c r="GWR181" s="23"/>
      <c r="GWS181" s="23"/>
      <c r="GWT181" s="23"/>
      <c r="GWU181" s="23"/>
      <c r="GWV181" s="23"/>
      <c r="GWW181" s="23"/>
      <c r="GWX181" s="23"/>
      <c r="GWY181" s="23"/>
      <c r="GWZ181" s="23"/>
      <c r="GXA181" s="23"/>
      <c r="GXB181" s="23"/>
      <c r="GXC181" s="23"/>
      <c r="GXD181" s="23"/>
      <c r="GXE181" s="23"/>
      <c r="GXF181" s="23"/>
      <c r="GXG181" s="23"/>
      <c r="GXH181" s="23"/>
      <c r="GXI181" s="23"/>
      <c r="GXJ181" s="23"/>
      <c r="GXK181" s="23"/>
      <c r="GXL181" s="23"/>
      <c r="GXM181" s="23"/>
      <c r="GXN181" s="23"/>
      <c r="GXO181" s="23"/>
      <c r="GXP181" s="23"/>
      <c r="GXQ181" s="23"/>
      <c r="GXR181" s="23"/>
      <c r="GXS181" s="23"/>
      <c r="GXT181" s="23"/>
      <c r="GXU181" s="23"/>
      <c r="GXV181" s="23"/>
      <c r="GXW181" s="23"/>
      <c r="GXX181" s="23"/>
      <c r="GXY181" s="23"/>
      <c r="GXZ181" s="23"/>
      <c r="GYA181" s="23"/>
      <c r="GYB181" s="23"/>
      <c r="GYC181" s="23"/>
      <c r="GYD181" s="23"/>
      <c r="GYE181" s="23"/>
      <c r="GYF181" s="23"/>
      <c r="GYG181" s="23"/>
      <c r="GYH181" s="23"/>
      <c r="GYI181" s="23"/>
      <c r="GYJ181" s="23"/>
      <c r="GYK181" s="23"/>
      <c r="GYL181" s="23"/>
      <c r="GYM181" s="23"/>
      <c r="GYN181" s="23"/>
      <c r="GYO181" s="23"/>
      <c r="GYP181" s="23"/>
      <c r="GYQ181" s="23"/>
      <c r="GYR181" s="23"/>
      <c r="GYS181" s="23"/>
      <c r="GYT181" s="23"/>
      <c r="GYU181" s="23"/>
      <c r="GYV181" s="23"/>
      <c r="GYW181" s="23"/>
      <c r="GYX181" s="23"/>
      <c r="GYY181" s="23"/>
      <c r="GYZ181" s="23"/>
      <c r="GZA181" s="23"/>
      <c r="GZB181" s="23"/>
      <c r="GZC181" s="23"/>
      <c r="GZD181" s="23"/>
      <c r="GZE181" s="23"/>
      <c r="GZF181" s="23"/>
      <c r="GZG181" s="23"/>
      <c r="GZH181" s="23"/>
      <c r="GZI181" s="23"/>
      <c r="GZJ181" s="23"/>
      <c r="GZK181" s="23"/>
      <c r="GZL181" s="23"/>
      <c r="GZM181" s="23"/>
      <c r="GZN181" s="23"/>
      <c r="GZO181" s="23"/>
      <c r="GZP181" s="23"/>
      <c r="GZQ181" s="23"/>
      <c r="GZR181" s="23"/>
      <c r="GZS181" s="23"/>
      <c r="GZT181" s="23"/>
      <c r="GZU181" s="23"/>
      <c r="GZV181" s="23"/>
      <c r="GZW181" s="23"/>
      <c r="GZX181" s="23"/>
      <c r="GZY181" s="23"/>
      <c r="GZZ181" s="23"/>
      <c r="HAA181" s="23"/>
      <c r="HAB181" s="23"/>
      <c r="HAC181" s="23"/>
      <c r="HAD181" s="23"/>
      <c r="HAE181" s="23"/>
      <c r="HAF181" s="23"/>
      <c r="HAG181" s="23"/>
      <c r="HAH181" s="23"/>
      <c r="HAI181" s="23"/>
      <c r="HAJ181" s="23"/>
      <c r="HAK181" s="23"/>
      <c r="HAL181" s="23"/>
      <c r="HAM181" s="23"/>
      <c r="HAN181" s="23"/>
      <c r="HAO181" s="23"/>
      <c r="HAP181" s="23"/>
      <c r="HAQ181" s="23"/>
      <c r="HAR181" s="23"/>
      <c r="HAS181" s="23"/>
      <c r="HAT181" s="23"/>
      <c r="HAU181" s="23"/>
      <c r="HAV181" s="23"/>
      <c r="HAW181" s="23"/>
      <c r="HAX181" s="23"/>
      <c r="HAY181" s="23"/>
      <c r="HAZ181" s="23"/>
      <c r="HBA181" s="23"/>
      <c r="HBB181" s="23"/>
      <c r="HBC181" s="23"/>
      <c r="HBD181" s="23"/>
      <c r="HBE181" s="23"/>
      <c r="HBF181" s="23"/>
      <c r="HBG181" s="23"/>
      <c r="HBH181" s="23"/>
      <c r="HBI181" s="23"/>
      <c r="HBJ181" s="23"/>
      <c r="HBK181" s="23"/>
      <c r="HBL181" s="23"/>
      <c r="HBM181" s="23"/>
      <c r="HBN181" s="23"/>
      <c r="HBO181" s="23"/>
      <c r="HBP181" s="23"/>
      <c r="HBQ181" s="23"/>
      <c r="HBR181" s="23"/>
      <c r="HBS181" s="23"/>
      <c r="HBT181" s="23"/>
      <c r="HBU181" s="23"/>
      <c r="HBV181" s="23"/>
      <c r="HBW181" s="23"/>
      <c r="HBX181" s="23"/>
      <c r="HBY181" s="23"/>
      <c r="HBZ181" s="23"/>
      <c r="HCA181" s="23"/>
      <c r="HCB181" s="23"/>
      <c r="HCC181" s="23"/>
      <c r="HCD181" s="23"/>
      <c r="HCE181" s="23"/>
      <c r="HCF181" s="23"/>
      <c r="HCG181" s="23"/>
      <c r="HCH181" s="23"/>
      <c r="HCI181" s="23"/>
      <c r="HCJ181" s="23"/>
      <c r="HCK181" s="23"/>
      <c r="HCL181" s="23"/>
      <c r="HCM181" s="23"/>
      <c r="HCN181" s="23"/>
      <c r="HCO181" s="23"/>
      <c r="HCP181" s="23"/>
      <c r="HCQ181" s="23"/>
      <c r="HCR181" s="23"/>
      <c r="HCS181" s="23"/>
      <c r="HCT181" s="23"/>
      <c r="HCU181" s="23"/>
      <c r="HCV181" s="23"/>
      <c r="HCW181" s="23"/>
      <c r="HCX181" s="23"/>
      <c r="HCY181" s="23"/>
      <c r="HCZ181" s="23"/>
      <c r="HDA181" s="23"/>
      <c r="HDB181" s="23"/>
      <c r="HDC181" s="23"/>
      <c r="HDD181" s="23"/>
      <c r="HDE181" s="23"/>
      <c r="HDF181" s="23"/>
      <c r="HDG181" s="23"/>
      <c r="HDH181" s="23"/>
      <c r="HDI181" s="23"/>
      <c r="HDJ181" s="23"/>
      <c r="HDK181" s="23"/>
      <c r="HDL181" s="23"/>
      <c r="HDM181" s="23"/>
      <c r="HDN181" s="23"/>
      <c r="HDO181" s="23"/>
      <c r="HDP181" s="23"/>
      <c r="HDQ181" s="23"/>
      <c r="HDR181" s="23"/>
      <c r="HDS181" s="23"/>
      <c r="HDT181" s="23"/>
      <c r="HDU181" s="23"/>
      <c r="HDV181" s="23"/>
      <c r="HDW181" s="23"/>
      <c r="HDX181" s="23"/>
      <c r="HDY181" s="23"/>
      <c r="HDZ181" s="23"/>
      <c r="HEA181" s="23"/>
      <c r="HEB181" s="23"/>
      <c r="HEC181" s="23"/>
      <c r="HED181" s="23"/>
      <c r="HEE181" s="23"/>
      <c r="HEF181" s="23"/>
      <c r="HEG181" s="23"/>
      <c r="HEH181" s="23"/>
      <c r="HEI181" s="23"/>
      <c r="HEJ181" s="23"/>
      <c r="HEK181" s="23"/>
      <c r="HEL181" s="23"/>
      <c r="HEM181" s="23"/>
      <c r="HEN181" s="23"/>
      <c r="HEO181" s="23"/>
      <c r="HEP181" s="23"/>
      <c r="HEQ181" s="23"/>
      <c r="HER181" s="23"/>
      <c r="HES181" s="23"/>
      <c r="HET181" s="23"/>
      <c r="HEU181" s="23"/>
      <c r="HEV181" s="23"/>
      <c r="HEW181" s="23"/>
      <c r="HEX181" s="23"/>
      <c r="HEY181" s="23"/>
      <c r="HEZ181" s="23"/>
      <c r="HFA181" s="23"/>
      <c r="HFB181" s="23"/>
      <c r="HFC181" s="23"/>
      <c r="HFD181" s="23"/>
      <c r="HFE181" s="23"/>
      <c r="HFF181" s="23"/>
      <c r="HFG181" s="23"/>
      <c r="HFH181" s="23"/>
      <c r="HFI181" s="23"/>
      <c r="HFJ181" s="23"/>
      <c r="HFK181" s="23"/>
      <c r="HFL181" s="23"/>
      <c r="HFM181" s="23"/>
      <c r="HFN181" s="23"/>
      <c r="HFO181" s="23"/>
      <c r="HFP181" s="23"/>
      <c r="HFQ181" s="23"/>
      <c r="HFR181" s="23"/>
      <c r="HFS181" s="23"/>
      <c r="HFT181" s="23"/>
      <c r="HFU181" s="23"/>
      <c r="HFV181" s="23"/>
      <c r="HFW181" s="23"/>
      <c r="HFX181" s="23"/>
      <c r="HFY181" s="23"/>
      <c r="HFZ181" s="23"/>
      <c r="HGA181" s="23"/>
      <c r="HGB181" s="23"/>
      <c r="HGC181" s="23"/>
      <c r="HGD181" s="23"/>
      <c r="HGE181" s="23"/>
      <c r="HGF181" s="23"/>
      <c r="HGG181" s="23"/>
      <c r="HGH181" s="23"/>
      <c r="HGI181" s="23"/>
      <c r="HGJ181" s="23"/>
      <c r="HGK181" s="23"/>
      <c r="HGL181" s="23"/>
      <c r="HGM181" s="23"/>
      <c r="HGN181" s="23"/>
      <c r="HGO181" s="23"/>
      <c r="HGP181" s="23"/>
      <c r="HGQ181" s="23"/>
      <c r="HGR181" s="23"/>
      <c r="HGS181" s="23"/>
      <c r="HGT181" s="23"/>
      <c r="HGU181" s="23"/>
      <c r="HGV181" s="23"/>
      <c r="HGW181" s="23"/>
      <c r="HGX181" s="23"/>
      <c r="HGY181" s="23"/>
      <c r="HGZ181" s="23"/>
      <c r="HHA181" s="23"/>
      <c r="HHB181" s="23"/>
      <c r="HHC181" s="23"/>
      <c r="HHD181" s="23"/>
      <c r="HHE181" s="23"/>
      <c r="HHF181" s="23"/>
      <c r="HHG181" s="23"/>
      <c r="HHH181" s="23"/>
      <c r="HHI181" s="23"/>
      <c r="HHJ181" s="23"/>
      <c r="HHK181" s="23"/>
      <c r="HHL181" s="23"/>
      <c r="HHM181" s="23"/>
      <c r="HHN181" s="23"/>
      <c r="HHO181" s="23"/>
      <c r="HHP181" s="23"/>
      <c r="HHQ181" s="23"/>
      <c r="HHR181" s="23"/>
      <c r="HHS181" s="23"/>
      <c r="HHT181" s="23"/>
      <c r="HHU181" s="23"/>
      <c r="HHV181" s="23"/>
      <c r="HHW181" s="23"/>
      <c r="HHX181" s="23"/>
      <c r="HHY181" s="23"/>
      <c r="HHZ181" s="23"/>
      <c r="HIA181" s="23"/>
      <c r="HIB181" s="23"/>
      <c r="HIC181" s="23"/>
      <c r="HID181" s="23"/>
      <c r="HIE181" s="23"/>
      <c r="HIF181" s="23"/>
      <c r="HIG181" s="23"/>
      <c r="HIH181" s="23"/>
      <c r="HII181" s="23"/>
      <c r="HIJ181" s="23"/>
      <c r="HIK181" s="23"/>
      <c r="HIL181" s="23"/>
      <c r="HIM181" s="23"/>
      <c r="HIN181" s="23"/>
      <c r="HIO181" s="23"/>
      <c r="HIP181" s="23"/>
      <c r="HIQ181" s="23"/>
      <c r="HIR181" s="23"/>
      <c r="HIS181" s="23"/>
      <c r="HIT181" s="23"/>
      <c r="HIU181" s="23"/>
      <c r="HIV181" s="23"/>
      <c r="HIW181" s="23"/>
      <c r="HIX181" s="23"/>
      <c r="HIY181" s="23"/>
      <c r="HIZ181" s="23"/>
      <c r="HJA181" s="23"/>
      <c r="HJB181" s="23"/>
      <c r="HJC181" s="23"/>
      <c r="HJD181" s="23"/>
      <c r="HJE181" s="23"/>
      <c r="HJF181" s="23"/>
      <c r="HJG181" s="23"/>
      <c r="HJH181" s="23"/>
      <c r="HJI181" s="23"/>
      <c r="HJJ181" s="23"/>
      <c r="HJK181" s="23"/>
      <c r="HJL181" s="23"/>
      <c r="HJM181" s="23"/>
      <c r="HJN181" s="23"/>
      <c r="HJO181" s="23"/>
      <c r="HJP181" s="23"/>
      <c r="HJQ181" s="23"/>
      <c r="HJR181" s="23"/>
      <c r="HJS181" s="23"/>
      <c r="HJT181" s="23"/>
      <c r="HJU181" s="23"/>
      <c r="HJV181" s="23"/>
      <c r="HJW181" s="23"/>
      <c r="HJX181" s="23"/>
      <c r="HJY181" s="23"/>
      <c r="HJZ181" s="23"/>
      <c r="HKA181" s="23"/>
      <c r="HKB181" s="23"/>
      <c r="HKC181" s="23"/>
      <c r="HKD181" s="23"/>
      <c r="HKE181" s="23"/>
      <c r="HKF181" s="23"/>
      <c r="HKG181" s="23"/>
      <c r="HKH181" s="23"/>
      <c r="HKI181" s="23"/>
      <c r="HKJ181" s="23"/>
      <c r="HKK181" s="23"/>
      <c r="HKL181" s="23"/>
      <c r="HKM181" s="23"/>
      <c r="HKN181" s="23"/>
      <c r="HKO181" s="23"/>
      <c r="HKP181" s="23"/>
      <c r="HKQ181" s="23"/>
      <c r="HKR181" s="23"/>
      <c r="HKS181" s="23"/>
      <c r="HKT181" s="23"/>
      <c r="HKU181" s="23"/>
      <c r="HKV181" s="23"/>
      <c r="HKW181" s="23"/>
      <c r="HKX181" s="23"/>
      <c r="HKY181" s="23"/>
      <c r="HKZ181" s="23"/>
      <c r="HLA181" s="23"/>
      <c r="HLB181" s="23"/>
      <c r="HLC181" s="23"/>
      <c r="HLD181" s="23"/>
      <c r="HLE181" s="23"/>
      <c r="HLF181" s="23"/>
      <c r="HLG181" s="23"/>
      <c r="HLH181" s="23"/>
      <c r="HLI181" s="23"/>
      <c r="HLJ181" s="23"/>
      <c r="HLK181" s="23"/>
      <c r="HLL181" s="23"/>
      <c r="HLM181" s="23"/>
      <c r="HLN181" s="23"/>
      <c r="HLO181" s="23"/>
      <c r="HLP181" s="23"/>
      <c r="HLQ181" s="23"/>
      <c r="HLR181" s="23"/>
      <c r="HLS181" s="23"/>
      <c r="HLT181" s="23"/>
      <c r="HLU181" s="23"/>
      <c r="HLV181" s="23"/>
      <c r="HLW181" s="23"/>
      <c r="HLX181" s="23"/>
      <c r="HLY181" s="23"/>
      <c r="HLZ181" s="23"/>
      <c r="HMA181" s="23"/>
      <c r="HMB181" s="23"/>
      <c r="HMC181" s="23"/>
      <c r="HMD181" s="23"/>
      <c r="HME181" s="23"/>
      <c r="HMF181" s="23"/>
      <c r="HMG181" s="23"/>
      <c r="HMH181" s="23"/>
      <c r="HMI181" s="23"/>
      <c r="HMJ181" s="23"/>
      <c r="HMK181" s="23"/>
      <c r="HML181" s="23"/>
      <c r="HMM181" s="23"/>
      <c r="HMN181" s="23"/>
      <c r="HMO181" s="23"/>
      <c r="HMP181" s="23"/>
      <c r="HMQ181" s="23"/>
      <c r="HMR181" s="23"/>
      <c r="HMS181" s="23"/>
      <c r="HMT181" s="23"/>
      <c r="HMU181" s="23"/>
      <c r="HMV181" s="23"/>
      <c r="HMW181" s="23"/>
      <c r="HMX181" s="23"/>
      <c r="HMY181" s="23"/>
      <c r="HMZ181" s="23"/>
      <c r="HNA181" s="23"/>
      <c r="HNB181" s="23"/>
      <c r="HNC181" s="23"/>
      <c r="HND181" s="23"/>
      <c r="HNE181" s="23"/>
      <c r="HNF181" s="23"/>
      <c r="HNG181" s="23"/>
      <c r="HNH181" s="23"/>
      <c r="HNI181" s="23"/>
      <c r="HNJ181" s="23"/>
      <c r="HNK181" s="23"/>
      <c r="HNL181" s="23"/>
      <c r="HNM181" s="23"/>
      <c r="HNN181" s="23"/>
      <c r="HNO181" s="23"/>
      <c r="HNP181" s="23"/>
      <c r="HNQ181" s="23"/>
      <c r="HNR181" s="23"/>
      <c r="HNS181" s="23"/>
      <c r="HNT181" s="23"/>
      <c r="HNU181" s="23"/>
      <c r="HNV181" s="23"/>
      <c r="HNW181" s="23"/>
      <c r="HNX181" s="23"/>
      <c r="HNY181" s="23"/>
      <c r="HNZ181" s="23"/>
      <c r="HOA181" s="23"/>
      <c r="HOB181" s="23"/>
      <c r="HOC181" s="23"/>
      <c r="HOD181" s="23"/>
      <c r="HOE181" s="23"/>
      <c r="HOF181" s="23"/>
      <c r="HOG181" s="23"/>
      <c r="HOH181" s="23"/>
      <c r="HOI181" s="23"/>
      <c r="HOJ181" s="23"/>
      <c r="HOK181" s="23"/>
      <c r="HOL181" s="23"/>
      <c r="HOM181" s="23"/>
      <c r="HON181" s="23"/>
      <c r="HOO181" s="23"/>
      <c r="HOP181" s="23"/>
      <c r="HOQ181" s="23"/>
      <c r="HOR181" s="23"/>
      <c r="HOS181" s="23"/>
      <c r="HOT181" s="23"/>
      <c r="HOU181" s="23"/>
      <c r="HOV181" s="23"/>
      <c r="HOW181" s="23"/>
      <c r="HOX181" s="23"/>
      <c r="HOY181" s="23"/>
      <c r="HOZ181" s="23"/>
      <c r="HPA181" s="23"/>
      <c r="HPB181" s="23"/>
      <c r="HPC181" s="23"/>
      <c r="HPD181" s="23"/>
      <c r="HPE181" s="23"/>
      <c r="HPF181" s="23"/>
      <c r="HPG181" s="23"/>
      <c r="HPH181" s="23"/>
      <c r="HPI181" s="23"/>
      <c r="HPJ181" s="23"/>
      <c r="HPK181" s="23"/>
      <c r="HPL181" s="23"/>
      <c r="HPM181" s="23"/>
      <c r="HPN181" s="23"/>
      <c r="HPO181" s="23"/>
      <c r="HPP181" s="23"/>
      <c r="HPQ181" s="23"/>
      <c r="HPR181" s="23"/>
      <c r="HPS181" s="23"/>
      <c r="HPT181" s="23"/>
      <c r="HPU181" s="23"/>
      <c r="HPV181" s="23"/>
      <c r="HPW181" s="23"/>
      <c r="HPX181" s="23"/>
      <c r="HPY181" s="23"/>
      <c r="HPZ181" s="23"/>
      <c r="HQA181" s="23"/>
      <c r="HQB181" s="23"/>
      <c r="HQC181" s="23"/>
      <c r="HQD181" s="23"/>
      <c r="HQE181" s="23"/>
      <c r="HQF181" s="23"/>
      <c r="HQG181" s="23"/>
      <c r="HQH181" s="23"/>
      <c r="HQI181" s="23"/>
      <c r="HQJ181" s="23"/>
      <c r="HQK181" s="23"/>
      <c r="HQL181" s="23"/>
      <c r="HQM181" s="23"/>
      <c r="HQN181" s="23"/>
      <c r="HQO181" s="23"/>
      <c r="HQP181" s="23"/>
      <c r="HQQ181" s="23"/>
      <c r="HQR181" s="23"/>
      <c r="HQS181" s="23"/>
      <c r="HQT181" s="23"/>
      <c r="HQU181" s="23"/>
      <c r="HQV181" s="23"/>
      <c r="HQW181" s="23"/>
      <c r="HQX181" s="23"/>
      <c r="HQY181" s="23"/>
      <c r="HQZ181" s="23"/>
      <c r="HRA181" s="23"/>
      <c r="HRB181" s="23"/>
      <c r="HRC181" s="23"/>
      <c r="HRD181" s="23"/>
      <c r="HRE181" s="23"/>
      <c r="HRF181" s="23"/>
      <c r="HRG181" s="23"/>
      <c r="HRH181" s="23"/>
      <c r="HRI181" s="23"/>
      <c r="HRJ181" s="23"/>
      <c r="HRK181" s="23"/>
      <c r="HRL181" s="23"/>
      <c r="HRM181" s="23"/>
      <c r="HRN181" s="23"/>
      <c r="HRO181" s="23"/>
      <c r="HRP181" s="23"/>
      <c r="HRQ181" s="23"/>
      <c r="HRR181" s="23"/>
      <c r="HRS181" s="23"/>
      <c r="HRT181" s="23"/>
      <c r="HRU181" s="23"/>
      <c r="HRV181" s="23"/>
      <c r="HRW181" s="23"/>
      <c r="HRX181" s="23"/>
      <c r="HRY181" s="23"/>
      <c r="HRZ181" s="23"/>
      <c r="HSA181" s="23"/>
      <c r="HSB181" s="23"/>
      <c r="HSC181" s="23"/>
      <c r="HSD181" s="23"/>
      <c r="HSE181" s="23"/>
      <c r="HSF181" s="23"/>
      <c r="HSG181" s="23"/>
      <c r="HSH181" s="23"/>
      <c r="HSI181" s="23"/>
      <c r="HSJ181" s="23"/>
      <c r="HSK181" s="23"/>
      <c r="HSL181" s="23"/>
      <c r="HSM181" s="23"/>
      <c r="HSN181" s="23"/>
      <c r="HSO181" s="23"/>
      <c r="HSP181" s="23"/>
      <c r="HSQ181" s="23"/>
      <c r="HSR181" s="23"/>
      <c r="HSS181" s="23"/>
      <c r="HST181" s="23"/>
      <c r="HSU181" s="23"/>
      <c r="HSV181" s="23"/>
      <c r="HSW181" s="23"/>
      <c r="HSX181" s="23"/>
      <c r="HSY181" s="23"/>
      <c r="HSZ181" s="23"/>
      <c r="HTA181" s="23"/>
      <c r="HTB181" s="23"/>
      <c r="HTC181" s="23"/>
      <c r="HTD181" s="23"/>
      <c r="HTE181" s="23"/>
      <c r="HTF181" s="23"/>
      <c r="HTG181" s="23"/>
      <c r="HTH181" s="23"/>
      <c r="HTI181" s="23"/>
      <c r="HTJ181" s="23"/>
      <c r="HTK181" s="23"/>
      <c r="HTL181" s="23"/>
      <c r="HTM181" s="23"/>
      <c r="HTN181" s="23"/>
      <c r="HTO181" s="23"/>
      <c r="HTP181" s="23"/>
      <c r="HTQ181" s="23"/>
      <c r="HTR181" s="23"/>
      <c r="HTS181" s="23"/>
      <c r="HTT181" s="23"/>
      <c r="HTU181" s="23"/>
      <c r="HTV181" s="23"/>
      <c r="HTW181" s="23"/>
      <c r="HTX181" s="23"/>
      <c r="HTY181" s="23"/>
      <c r="HTZ181" s="23"/>
      <c r="HUA181" s="23"/>
      <c r="HUB181" s="23"/>
      <c r="HUC181" s="23"/>
      <c r="HUD181" s="23"/>
      <c r="HUE181" s="23"/>
      <c r="HUF181" s="23"/>
      <c r="HUG181" s="23"/>
      <c r="HUH181" s="23"/>
      <c r="HUI181" s="23"/>
      <c r="HUJ181" s="23"/>
      <c r="HUK181" s="23"/>
      <c r="HUL181" s="23"/>
      <c r="HUM181" s="23"/>
      <c r="HUN181" s="23"/>
      <c r="HUO181" s="23"/>
      <c r="HUP181" s="23"/>
      <c r="HUQ181" s="23"/>
      <c r="HUR181" s="23"/>
      <c r="HUS181" s="23"/>
      <c r="HUT181" s="23"/>
      <c r="HUU181" s="23"/>
      <c r="HUV181" s="23"/>
      <c r="HUW181" s="23"/>
      <c r="HUX181" s="23"/>
      <c r="HUY181" s="23"/>
      <c r="HUZ181" s="23"/>
      <c r="HVA181" s="23"/>
      <c r="HVB181" s="23"/>
      <c r="HVC181" s="23"/>
      <c r="HVD181" s="23"/>
      <c r="HVE181" s="23"/>
      <c r="HVF181" s="23"/>
      <c r="HVG181" s="23"/>
      <c r="HVH181" s="23"/>
      <c r="HVI181" s="23"/>
      <c r="HVJ181" s="23"/>
      <c r="HVK181" s="23"/>
      <c r="HVL181" s="23"/>
      <c r="HVM181" s="23"/>
      <c r="HVN181" s="23"/>
      <c r="HVO181" s="23"/>
      <c r="HVP181" s="23"/>
      <c r="HVQ181" s="23"/>
      <c r="HVR181" s="23"/>
      <c r="HVS181" s="23"/>
      <c r="HVT181" s="23"/>
      <c r="HVU181" s="23"/>
      <c r="HVV181" s="23"/>
      <c r="HVW181" s="23"/>
      <c r="HVX181" s="23"/>
      <c r="HVY181" s="23"/>
      <c r="HVZ181" s="23"/>
      <c r="HWA181" s="23"/>
      <c r="HWB181" s="23"/>
      <c r="HWC181" s="23"/>
      <c r="HWD181" s="23"/>
      <c r="HWE181" s="23"/>
      <c r="HWF181" s="23"/>
      <c r="HWG181" s="23"/>
      <c r="HWH181" s="23"/>
      <c r="HWI181" s="23"/>
      <c r="HWJ181" s="23"/>
      <c r="HWK181" s="23"/>
      <c r="HWL181" s="23"/>
      <c r="HWM181" s="23"/>
      <c r="HWN181" s="23"/>
      <c r="HWO181" s="23"/>
      <c r="HWP181" s="23"/>
      <c r="HWQ181" s="23"/>
      <c r="HWR181" s="23"/>
      <c r="HWS181" s="23"/>
      <c r="HWT181" s="23"/>
      <c r="HWU181" s="23"/>
      <c r="HWV181" s="23"/>
      <c r="HWW181" s="23"/>
      <c r="HWX181" s="23"/>
      <c r="HWY181" s="23"/>
      <c r="HWZ181" s="23"/>
      <c r="HXA181" s="23"/>
      <c r="HXB181" s="23"/>
      <c r="HXC181" s="23"/>
      <c r="HXD181" s="23"/>
      <c r="HXE181" s="23"/>
      <c r="HXF181" s="23"/>
      <c r="HXG181" s="23"/>
      <c r="HXH181" s="23"/>
      <c r="HXI181" s="23"/>
      <c r="HXJ181" s="23"/>
      <c r="HXK181" s="23"/>
      <c r="HXL181" s="23"/>
      <c r="HXM181" s="23"/>
      <c r="HXN181" s="23"/>
      <c r="HXO181" s="23"/>
      <c r="HXP181" s="23"/>
      <c r="HXQ181" s="23"/>
      <c r="HXR181" s="23"/>
      <c r="HXS181" s="23"/>
      <c r="HXT181" s="23"/>
      <c r="HXU181" s="23"/>
      <c r="HXV181" s="23"/>
      <c r="HXW181" s="23"/>
      <c r="HXX181" s="23"/>
      <c r="HXY181" s="23"/>
      <c r="HXZ181" s="23"/>
      <c r="HYA181" s="23"/>
      <c r="HYB181" s="23"/>
      <c r="HYC181" s="23"/>
      <c r="HYD181" s="23"/>
      <c r="HYE181" s="23"/>
      <c r="HYF181" s="23"/>
      <c r="HYG181" s="23"/>
      <c r="HYH181" s="23"/>
      <c r="HYI181" s="23"/>
      <c r="HYJ181" s="23"/>
      <c r="HYK181" s="23"/>
      <c r="HYL181" s="23"/>
      <c r="HYM181" s="23"/>
      <c r="HYN181" s="23"/>
      <c r="HYO181" s="23"/>
      <c r="HYP181" s="23"/>
      <c r="HYQ181" s="23"/>
      <c r="HYR181" s="23"/>
      <c r="HYS181" s="23"/>
      <c r="HYT181" s="23"/>
      <c r="HYU181" s="23"/>
      <c r="HYV181" s="23"/>
      <c r="HYW181" s="23"/>
      <c r="HYX181" s="23"/>
      <c r="HYY181" s="23"/>
      <c r="HYZ181" s="23"/>
      <c r="HZA181" s="23"/>
      <c r="HZB181" s="23"/>
      <c r="HZC181" s="23"/>
      <c r="HZD181" s="23"/>
      <c r="HZE181" s="23"/>
      <c r="HZF181" s="23"/>
      <c r="HZG181" s="23"/>
      <c r="HZH181" s="23"/>
      <c r="HZI181" s="23"/>
      <c r="HZJ181" s="23"/>
      <c r="HZK181" s="23"/>
      <c r="HZL181" s="23"/>
      <c r="HZM181" s="23"/>
      <c r="HZN181" s="23"/>
      <c r="HZO181" s="23"/>
      <c r="HZP181" s="23"/>
      <c r="HZQ181" s="23"/>
      <c r="HZR181" s="23"/>
      <c r="HZS181" s="23"/>
      <c r="HZT181" s="23"/>
      <c r="HZU181" s="23"/>
      <c r="HZV181" s="23"/>
      <c r="HZW181" s="23"/>
      <c r="HZX181" s="23"/>
      <c r="HZY181" s="23"/>
      <c r="HZZ181" s="23"/>
      <c r="IAA181" s="23"/>
      <c r="IAB181" s="23"/>
      <c r="IAC181" s="23"/>
      <c r="IAD181" s="23"/>
      <c r="IAE181" s="23"/>
      <c r="IAF181" s="23"/>
      <c r="IAG181" s="23"/>
      <c r="IAH181" s="23"/>
      <c r="IAI181" s="23"/>
      <c r="IAJ181" s="23"/>
      <c r="IAK181" s="23"/>
      <c r="IAL181" s="23"/>
      <c r="IAM181" s="23"/>
      <c r="IAN181" s="23"/>
      <c r="IAO181" s="23"/>
      <c r="IAP181" s="23"/>
      <c r="IAQ181" s="23"/>
      <c r="IAR181" s="23"/>
      <c r="IAS181" s="23"/>
      <c r="IAT181" s="23"/>
      <c r="IAU181" s="23"/>
      <c r="IAV181" s="23"/>
      <c r="IAW181" s="23"/>
      <c r="IAX181" s="23"/>
      <c r="IAY181" s="23"/>
      <c r="IAZ181" s="23"/>
      <c r="IBA181" s="23"/>
      <c r="IBB181" s="23"/>
      <c r="IBC181" s="23"/>
      <c r="IBD181" s="23"/>
      <c r="IBE181" s="23"/>
      <c r="IBF181" s="23"/>
      <c r="IBG181" s="23"/>
      <c r="IBH181" s="23"/>
      <c r="IBI181" s="23"/>
      <c r="IBJ181" s="23"/>
      <c r="IBK181" s="23"/>
      <c r="IBL181" s="23"/>
      <c r="IBM181" s="23"/>
      <c r="IBN181" s="23"/>
      <c r="IBO181" s="23"/>
      <c r="IBP181" s="23"/>
      <c r="IBQ181" s="23"/>
      <c r="IBR181" s="23"/>
      <c r="IBS181" s="23"/>
      <c r="IBT181" s="23"/>
      <c r="IBU181" s="23"/>
      <c r="IBV181" s="23"/>
      <c r="IBW181" s="23"/>
      <c r="IBX181" s="23"/>
      <c r="IBY181" s="23"/>
      <c r="IBZ181" s="23"/>
      <c r="ICA181" s="23"/>
      <c r="ICB181" s="23"/>
      <c r="ICC181" s="23"/>
      <c r="ICD181" s="23"/>
      <c r="ICE181" s="23"/>
      <c r="ICF181" s="23"/>
      <c r="ICG181" s="23"/>
      <c r="ICH181" s="23"/>
      <c r="ICI181" s="23"/>
      <c r="ICJ181" s="23"/>
      <c r="ICK181" s="23"/>
      <c r="ICL181" s="23"/>
      <c r="ICM181" s="23"/>
      <c r="ICN181" s="23"/>
      <c r="ICO181" s="23"/>
      <c r="ICP181" s="23"/>
      <c r="ICQ181" s="23"/>
      <c r="ICR181" s="23"/>
      <c r="ICS181" s="23"/>
      <c r="ICT181" s="23"/>
      <c r="ICU181" s="23"/>
      <c r="ICV181" s="23"/>
      <c r="ICW181" s="23"/>
      <c r="ICX181" s="23"/>
      <c r="ICY181" s="23"/>
      <c r="ICZ181" s="23"/>
      <c r="IDA181" s="23"/>
      <c r="IDB181" s="23"/>
      <c r="IDC181" s="23"/>
      <c r="IDD181" s="23"/>
      <c r="IDE181" s="23"/>
      <c r="IDF181" s="23"/>
      <c r="IDG181" s="23"/>
      <c r="IDH181" s="23"/>
      <c r="IDI181" s="23"/>
      <c r="IDJ181" s="23"/>
      <c r="IDK181" s="23"/>
      <c r="IDL181" s="23"/>
      <c r="IDM181" s="23"/>
      <c r="IDN181" s="23"/>
      <c r="IDO181" s="23"/>
      <c r="IDP181" s="23"/>
      <c r="IDQ181" s="23"/>
      <c r="IDR181" s="23"/>
      <c r="IDS181" s="23"/>
      <c r="IDT181" s="23"/>
      <c r="IDU181" s="23"/>
      <c r="IDV181" s="23"/>
      <c r="IDW181" s="23"/>
      <c r="IDX181" s="23"/>
      <c r="IDY181" s="23"/>
      <c r="IDZ181" s="23"/>
      <c r="IEA181" s="23"/>
      <c r="IEB181" s="23"/>
      <c r="IEC181" s="23"/>
      <c r="IED181" s="23"/>
      <c r="IEE181" s="23"/>
      <c r="IEF181" s="23"/>
      <c r="IEG181" s="23"/>
      <c r="IEH181" s="23"/>
      <c r="IEI181" s="23"/>
      <c r="IEJ181" s="23"/>
      <c r="IEK181" s="23"/>
      <c r="IEL181" s="23"/>
      <c r="IEM181" s="23"/>
      <c r="IEN181" s="23"/>
      <c r="IEO181" s="23"/>
      <c r="IEP181" s="23"/>
      <c r="IEQ181" s="23"/>
      <c r="IER181" s="23"/>
      <c r="IES181" s="23"/>
      <c r="IET181" s="23"/>
      <c r="IEU181" s="23"/>
      <c r="IEV181" s="23"/>
      <c r="IEW181" s="23"/>
      <c r="IEX181" s="23"/>
      <c r="IEY181" s="23"/>
      <c r="IEZ181" s="23"/>
      <c r="IFA181" s="23"/>
      <c r="IFB181" s="23"/>
      <c r="IFC181" s="23"/>
      <c r="IFD181" s="23"/>
      <c r="IFE181" s="23"/>
      <c r="IFF181" s="23"/>
      <c r="IFG181" s="23"/>
      <c r="IFH181" s="23"/>
      <c r="IFI181" s="23"/>
      <c r="IFJ181" s="23"/>
      <c r="IFK181" s="23"/>
      <c r="IFL181" s="23"/>
      <c r="IFM181" s="23"/>
      <c r="IFN181" s="23"/>
      <c r="IFO181" s="23"/>
      <c r="IFP181" s="23"/>
      <c r="IFQ181" s="23"/>
      <c r="IFR181" s="23"/>
      <c r="IFS181" s="23"/>
      <c r="IFT181" s="23"/>
      <c r="IFU181" s="23"/>
      <c r="IFV181" s="23"/>
      <c r="IFW181" s="23"/>
      <c r="IFX181" s="23"/>
      <c r="IFY181" s="23"/>
      <c r="IFZ181" s="23"/>
      <c r="IGA181" s="23"/>
      <c r="IGB181" s="23"/>
      <c r="IGC181" s="23"/>
      <c r="IGD181" s="23"/>
      <c r="IGE181" s="23"/>
      <c r="IGF181" s="23"/>
      <c r="IGG181" s="23"/>
      <c r="IGH181" s="23"/>
      <c r="IGI181" s="23"/>
      <c r="IGJ181" s="23"/>
      <c r="IGK181" s="23"/>
      <c r="IGL181" s="23"/>
      <c r="IGM181" s="23"/>
      <c r="IGN181" s="23"/>
      <c r="IGO181" s="23"/>
      <c r="IGP181" s="23"/>
      <c r="IGQ181" s="23"/>
      <c r="IGR181" s="23"/>
      <c r="IGS181" s="23"/>
      <c r="IGT181" s="23"/>
      <c r="IGU181" s="23"/>
      <c r="IGV181" s="23"/>
      <c r="IGW181" s="23"/>
      <c r="IGX181" s="23"/>
      <c r="IGY181" s="23"/>
      <c r="IGZ181" s="23"/>
      <c r="IHA181" s="23"/>
      <c r="IHB181" s="23"/>
      <c r="IHC181" s="23"/>
      <c r="IHD181" s="23"/>
      <c r="IHE181" s="23"/>
      <c r="IHF181" s="23"/>
      <c r="IHG181" s="23"/>
      <c r="IHH181" s="23"/>
      <c r="IHI181" s="23"/>
      <c r="IHJ181" s="23"/>
      <c r="IHK181" s="23"/>
      <c r="IHL181" s="23"/>
      <c r="IHM181" s="23"/>
      <c r="IHN181" s="23"/>
      <c r="IHO181" s="23"/>
      <c r="IHP181" s="23"/>
      <c r="IHQ181" s="23"/>
      <c r="IHR181" s="23"/>
      <c r="IHS181" s="23"/>
      <c r="IHT181" s="23"/>
      <c r="IHU181" s="23"/>
      <c r="IHV181" s="23"/>
      <c r="IHW181" s="23"/>
      <c r="IHX181" s="23"/>
      <c r="IHY181" s="23"/>
      <c r="IHZ181" s="23"/>
      <c r="IIA181" s="23"/>
      <c r="IIB181" s="23"/>
      <c r="IIC181" s="23"/>
      <c r="IID181" s="23"/>
      <c r="IIE181" s="23"/>
      <c r="IIF181" s="23"/>
      <c r="IIG181" s="23"/>
      <c r="IIH181" s="23"/>
      <c r="III181" s="23"/>
      <c r="IIJ181" s="23"/>
      <c r="IIK181" s="23"/>
      <c r="IIL181" s="23"/>
      <c r="IIM181" s="23"/>
      <c r="IIN181" s="23"/>
      <c r="IIO181" s="23"/>
      <c r="IIP181" s="23"/>
      <c r="IIQ181" s="23"/>
      <c r="IIR181" s="23"/>
      <c r="IIS181" s="23"/>
      <c r="IIT181" s="23"/>
      <c r="IIU181" s="23"/>
      <c r="IIV181" s="23"/>
      <c r="IIW181" s="23"/>
      <c r="IIX181" s="23"/>
      <c r="IIY181" s="23"/>
      <c r="IIZ181" s="23"/>
      <c r="IJA181" s="23"/>
      <c r="IJB181" s="23"/>
      <c r="IJC181" s="23"/>
      <c r="IJD181" s="23"/>
      <c r="IJE181" s="23"/>
      <c r="IJF181" s="23"/>
      <c r="IJG181" s="23"/>
      <c r="IJH181" s="23"/>
      <c r="IJI181" s="23"/>
      <c r="IJJ181" s="23"/>
      <c r="IJK181" s="23"/>
      <c r="IJL181" s="23"/>
      <c r="IJM181" s="23"/>
      <c r="IJN181" s="23"/>
      <c r="IJO181" s="23"/>
      <c r="IJP181" s="23"/>
      <c r="IJQ181" s="23"/>
      <c r="IJR181" s="23"/>
      <c r="IJS181" s="23"/>
      <c r="IJT181" s="23"/>
      <c r="IJU181" s="23"/>
      <c r="IJV181" s="23"/>
      <c r="IJW181" s="23"/>
      <c r="IJX181" s="23"/>
      <c r="IJY181" s="23"/>
      <c r="IJZ181" s="23"/>
      <c r="IKA181" s="23"/>
      <c r="IKB181" s="23"/>
      <c r="IKC181" s="23"/>
      <c r="IKD181" s="23"/>
      <c r="IKE181" s="23"/>
      <c r="IKF181" s="23"/>
      <c r="IKG181" s="23"/>
      <c r="IKH181" s="23"/>
      <c r="IKI181" s="23"/>
      <c r="IKJ181" s="23"/>
      <c r="IKK181" s="23"/>
      <c r="IKL181" s="23"/>
      <c r="IKM181" s="23"/>
      <c r="IKN181" s="23"/>
      <c r="IKO181" s="23"/>
      <c r="IKP181" s="23"/>
      <c r="IKQ181" s="23"/>
      <c r="IKR181" s="23"/>
      <c r="IKS181" s="23"/>
      <c r="IKT181" s="23"/>
      <c r="IKU181" s="23"/>
      <c r="IKV181" s="23"/>
      <c r="IKW181" s="23"/>
      <c r="IKX181" s="23"/>
      <c r="IKY181" s="23"/>
      <c r="IKZ181" s="23"/>
      <c r="ILA181" s="23"/>
      <c r="ILB181" s="23"/>
      <c r="ILC181" s="23"/>
      <c r="ILD181" s="23"/>
      <c r="ILE181" s="23"/>
      <c r="ILF181" s="23"/>
      <c r="ILG181" s="23"/>
      <c r="ILH181" s="23"/>
      <c r="ILI181" s="23"/>
      <c r="ILJ181" s="23"/>
      <c r="ILK181" s="23"/>
      <c r="ILL181" s="23"/>
      <c r="ILM181" s="23"/>
      <c r="ILN181" s="23"/>
      <c r="ILO181" s="23"/>
      <c r="ILP181" s="23"/>
      <c r="ILQ181" s="23"/>
      <c r="ILR181" s="23"/>
      <c r="ILS181" s="23"/>
      <c r="ILT181" s="23"/>
      <c r="ILU181" s="23"/>
      <c r="ILV181" s="23"/>
      <c r="ILW181" s="23"/>
      <c r="ILX181" s="23"/>
      <c r="ILY181" s="23"/>
      <c r="ILZ181" s="23"/>
      <c r="IMA181" s="23"/>
      <c r="IMB181" s="23"/>
      <c r="IMC181" s="23"/>
      <c r="IMD181" s="23"/>
      <c r="IME181" s="23"/>
      <c r="IMF181" s="23"/>
      <c r="IMG181" s="23"/>
      <c r="IMH181" s="23"/>
      <c r="IMI181" s="23"/>
      <c r="IMJ181" s="23"/>
      <c r="IMK181" s="23"/>
      <c r="IML181" s="23"/>
      <c r="IMM181" s="23"/>
      <c r="IMN181" s="23"/>
      <c r="IMO181" s="23"/>
      <c r="IMP181" s="23"/>
      <c r="IMQ181" s="23"/>
      <c r="IMR181" s="23"/>
      <c r="IMS181" s="23"/>
      <c r="IMT181" s="23"/>
      <c r="IMU181" s="23"/>
      <c r="IMV181" s="23"/>
      <c r="IMW181" s="23"/>
      <c r="IMX181" s="23"/>
      <c r="IMY181" s="23"/>
      <c r="IMZ181" s="23"/>
      <c r="INA181" s="23"/>
      <c r="INB181" s="23"/>
      <c r="INC181" s="23"/>
      <c r="IND181" s="23"/>
      <c r="INE181" s="23"/>
      <c r="INF181" s="23"/>
      <c r="ING181" s="23"/>
      <c r="INH181" s="23"/>
      <c r="INI181" s="23"/>
      <c r="INJ181" s="23"/>
      <c r="INK181" s="23"/>
      <c r="INL181" s="23"/>
      <c r="INM181" s="23"/>
      <c r="INN181" s="23"/>
      <c r="INO181" s="23"/>
      <c r="INP181" s="23"/>
      <c r="INQ181" s="23"/>
      <c r="INR181" s="23"/>
      <c r="INS181" s="23"/>
      <c r="INT181" s="23"/>
      <c r="INU181" s="23"/>
      <c r="INV181" s="23"/>
      <c r="INW181" s="23"/>
      <c r="INX181" s="23"/>
      <c r="INY181" s="23"/>
      <c r="INZ181" s="23"/>
      <c r="IOA181" s="23"/>
      <c r="IOB181" s="23"/>
      <c r="IOC181" s="23"/>
      <c r="IOD181" s="23"/>
      <c r="IOE181" s="23"/>
      <c r="IOF181" s="23"/>
      <c r="IOG181" s="23"/>
      <c r="IOH181" s="23"/>
      <c r="IOI181" s="23"/>
      <c r="IOJ181" s="23"/>
      <c r="IOK181" s="23"/>
      <c r="IOL181" s="23"/>
      <c r="IOM181" s="23"/>
      <c r="ION181" s="23"/>
      <c r="IOO181" s="23"/>
      <c r="IOP181" s="23"/>
      <c r="IOQ181" s="23"/>
      <c r="IOR181" s="23"/>
      <c r="IOS181" s="23"/>
      <c r="IOT181" s="23"/>
      <c r="IOU181" s="23"/>
      <c r="IOV181" s="23"/>
      <c r="IOW181" s="23"/>
      <c r="IOX181" s="23"/>
      <c r="IOY181" s="23"/>
      <c r="IOZ181" s="23"/>
      <c r="IPA181" s="23"/>
      <c r="IPB181" s="23"/>
      <c r="IPC181" s="23"/>
      <c r="IPD181" s="23"/>
      <c r="IPE181" s="23"/>
      <c r="IPF181" s="23"/>
      <c r="IPG181" s="23"/>
      <c r="IPH181" s="23"/>
      <c r="IPI181" s="23"/>
      <c r="IPJ181" s="23"/>
      <c r="IPK181" s="23"/>
      <c r="IPL181" s="23"/>
      <c r="IPM181" s="23"/>
      <c r="IPN181" s="23"/>
      <c r="IPO181" s="23"/>
      <c r="IPP181" s="23"/>
      <c r="IPQ181" s="23"/>
      <c r="IPR181" s="23"/>
      <c r="IPS181" s="23"/>
      <c r="IPT181" s="23"/>
      <c r="IPU181" s="23"/>
      <c r="IPV181" s="23"/>
      <c r="IPW181" s="23"/>
      <c r="IPX181" s="23"/>
      <c r="IPY181" s="23"/>
      <c r="IPZ181" s="23"/>
      <c r="IQA181" s="23"/>
      <c r="IQB181" s="23"/>
      <c r="IQC181" s="23"/>
      <c r="IQD181" s="23"/>
      <c r="IQE181" s="23"/>
      <c r="IQF181" s="23"/>
      <c r="IQG181" s="23"/>
      <c r="IQH181" s="23"/>
      <c r="IQI181" s="23"/>
      <c r="IQJ181" s="23"/>
      <c r="IQK181" s="23"/>
      <c r="IQL181" s="23"/>
      <c r="IQM181" s="23"/>
      <c r="IQN181" s="23"/>
      <c r="IQO181" s="23"/>
      <c r="IQP181" s="23"/>
      <c r="IQQ181" s="23"/>
      <c r="IQR181" s="23"/>
      <c r="IQS181" s="23"/>
      <c r="IQT181" s="23"/>
      <c r="IQU181" s="23"/>
      <c r="IQV181" s="23"/>
      <c r="IQW181" s="23"/>
      <c r="IQX181" s="23"/>
      <c r="IQY181" s="23"/>
      <c r="IQZ181" s="23"/>
      <c r="IRA181" s="23"/>
      <c r="IRB181" s="23"/>
      <c r="IRC181" s="23"/>
      <c r="IRD181" s="23"/>
      <c r="IRE181" s="23"/>
      <c r="IRF181" s="23"/>
      <c r="IRG181" s="23"/>
      <c r="IRH181" s="23"/>
      <c r="IRI181" s="23"/>
      <c r="IRJ181" s="23"/>
      <c r="IRK181" s="23"/>
      <c r="IRL181" s="23"/>
      <c r="IRM181" s="23"/>
      <c r="IRN181" s="23"/>
      <c r="IRO181" s="23"/>
      <c r="IRP181" s="23"/>
      <c r="IRQ181" s="23"/>
      <c r="IRR181" s="23"/>
      <c r="IRS181" s="23"/>
      <c r="IRT181" s="23"/>
      <c r="IRU181" s="23"/>
      <c r="IRV181" s="23"/>
      <c r="IRW181" s="23"/>
      <c r="IRX181" s="23"/>
      <c r="IRY181" s="23"/>
      <c r="IRZ181" s="23"/>
      <c r="ISA181" s="23"/>
      <c r="ISB181" s="23"/>
      <c r="ISC181" s="23"/>
      <c r="ISD181" s="23"/>
      <c r="ISE181" s="23"/>
      <c r="ISF181" s="23"/>
      <c r="ISG181" s="23"/>
      <c r="ISH181" s="23"/>
      <c r="ISI181" s="23"/>
      <c r="ISJ181" s="23"/>
      <c r="ISK181" s="23"/>
      <c r="ISL181" s="23"/>
      <c r="ISM181" s="23"/>
      <c r="ISN181" s="23"/>
      <c r="ISO181" s="23"/>
      <c r="ISP181" s="23"/>
      <c r="ISQ181" s="23"/>
      <c r="ISR181" s="23"/>
      <c r="ISS181" s="23"/>
      <c r="IST181" s="23"/>
      <c r="ISU181" s="23"/>
      <c r="ISV181" s="23"/>
      <c r="ISW181" s="23"/>
      <c r="ISX181" s="23"/>
      <c r="ISY181" s="23"/>
      <c r="ISZ181" s="23"/>
      <c r="ITA181" s="23"/>
      <c r="ITB181" s="23"/>
      <c r="ITC181" s="23"/>
      <c r="ITD181" s="23"/>
      <c r="ITE181" s="23"/>
      <c r="ITF181" s="23"/>
      <c r="ITG181" s="23"/>
      <c r="ITH181" s="23"/>
      <c r="ITI181" s="23"/>
      <c r="ITJ181" s="23"/>
      <c r="ITK181" s="23"/>
      <c r="ITL181" s="23"/>
      <c r="ITM181" s="23"/>
      <c r="ITN181" s="23"/>
      <c r="ITO181" s="23"/>
      <c r="ITP181" s="23"/>
      <c r="ITQ181" s="23"/>
      <c r="ITR181" s="23"/>
      <c r="ITS181" s="23"/>
      <c r="ITT181" s="23"/>
      <c r="ITU181" s="23"/>
      <c r="ITV181" s="23"/>
      <c r="ITW181" s="23"/>
      <c r="ITX181" s="23"/>
      <c r="ITY181" s="23"/>
      <c r="ITZ181" s="23"/>
      <c r="IUA181" s="23"/>
      <c r="IUB181" s="23"/>
      <c r="IUC181" s="23"/>
      <c r="IUD181" s="23"/>
      <c r="IUE181" s="23"/>
      <c r="IUF181" s="23"/>
      <c r="IUG181" s="23"/>
      <c r="IUH181" s="23"/>
      <c r="IUI181" s="23"/>
      <c r="IUJ181" s="23"/>
      <c r="IUK181" s="23"/>
      <c r="IUL181" s="23"/>
      <c r="IUM181" s="23"/>
      <c r="IUN181" s="23"/>
      <c r="IUO181" s="23"/>
      <c r="IUP181" s="23"/>
      <c r="IUQ181" s="23"/>
      <c r="IUR181" s="23"/>
      <c r="IUS181" s="23"/>
      <c r="IUT181" s="23"/>
      <c r="IUU181" s="23"/>
      <c r="IUV181" s="23"/>
      <c r="IUW181" s="23"/>
      <c r="IUX181" s="23"/>
      <c r="IUY181" s="23"/>
      <c r="IUZ181" s="23"/>
      <c r="IVA181" s="23"/>
      <c r="IVB181" s="23"/>
      <c r="IVC181" s="23"/>
      <c r="IVD181" s="23"/>
      <c r="IVE181" s="23"/>
      <c r="IVF181" s="23"/>
      <c r="IVG181" s="23"/>
      <c r="IVH181" s="23"/>
      <c r="IVI181" s="23"/>
      <c r="IVJ181" s="23"/>
      <c r="IVK181" s="23"/>
      <c r="IVL181" s="23"/>
      <c r="IVM181" s="23"/>
      <c r="IVN181" s="23"/>
      <c r="IVO181" s="23"/>
      <c r="IVP181" s="23"/>
      <c r="IVQ181" s="23"/>
      <c r="IVR181" s="23"/>
      <c r="IVS181" s="23"/>
      <c r="IVT181" s="23"/>
      <c r="IVU181" s="23"/>
      <c r="IVV181" s="23"/>
      <c r="IVW181" s="23"/>
      <c r="IVX181" s="23"/>
      <c r="IVY181" s="23"/>
      <c r="IVZ181" s="23"/>
      <c r="IWA181" s="23"/>
      <c r="IWB181" s="23"/>
      <c r="IWC181" s="23"/>
      <c r="IWD181" s="23"/>
      <c r="IWE181" s="23"/>
      <c r="IWF181" s="23"/>
      <c r="IWG181" s="23"/>
      <c r="IWH181" s="23"/>
      <c r="IWI181" s="23"/>
      <c r="IWJ181" s="23"/>
      <c r="IWK181" s="23"/>
      <c r="IWL181" s="23"/>
      <c r="IWM181" s="23"/>
      <c r="IWN181" s="23"/>
      <c r="IWO181" s="23"/>
      <c r="IWP181" s="23"/>
      <c r="IWQ181" s="23"/>
      <c r="IWR181" s="23"/>
      <c r="IWS181" s="23"/>
      <c r="IWT181" s="23"/>
      <c r="IWU181" s="23"/>
      <c r="IWV181" s="23"/>
      <c r="IWW181" s="23"/>
      <c r="IWX181" s="23"/>
      <c r="IWY181" s="23"/>
      <c r="IWZ181" s="23"/>
      <c r="IXA181" s="23"/>
      <c r="IXB181" s="23"/>
      <c r="IXC181" s="23"/>
      <c r="IXD181" s="23"/>
      <c r="IXE181" s="23"/>
      <c r="IXF181" s="23"/>
      <c r="IXG181" s="23"/>
      <c r="IXH181" s="23"/>
      <c r="IXI181" s="23"/>
      <c r="IXJ181" s="23"/>
      <c r="IXK181" s="23"/>
      <c r="IXL181" s="23"/>
      <c r="IXM181" s="23"/>
      <c r="IXN181" s="23"/>
      <c r="IXO181" s="23"/>
      <c r="IXP181" s="23"/>
      <c r="IXQ181" s="23"/>
      <c r="IXR181" s="23"/>
      <c r="IXS181" s="23"/>
      <c r="IXT181" s="23"/>
      <c r="IXU181" s="23"/>
      <c r="IXV181" s="23"/>
      <c r="IXW181" s="23"/>
      <c r="IXX181" s="23"/>
      <c r="IXY181" s="23"/>
      <c r="IXZ181" s="23"/>
      <c r="IYA181" s="23"/>
      <c r="IYB181" s="23"/>
      <c r="IYC181" s="23"/>
      <c r="IYD181" s="23"/>
      <c r="IYE181" s="23"/>
      <c r="IYF181" s="23"/>
      <c r="IYG181" s="23"/>
      <c r="IYH181" s="23"/>
      <c r="IYI181" s="23"/>
      <c r="IYJ181" s="23"/>
      <c r="IYK181" s="23"/>
      <c r="IYL181" s="23"/>
      <c r="IYM181" s="23"/>
      <c r="IYN181" s="23"/>
      <c r="IYO181" s="23"/>
      <c r="IYP181" s="23"/>
      <c r="IYQ181" s="23"/>
      <c r="IYR181" s="23"/>
      <c r="IYS181" s="23"/>
      <c r="IYT181" s="23"/>
      <c r="IYU181" s="23"/>
      <c r="IYV181" s="23"/>
      <c r="IYW181" s="23"/>
      <c r="IYX181" s="23"/>
      <c r="IYY181" s="23"/>
      <c r="IYZ181" s="23"/>
      <c r="IZA181" s="23"/>
      <c r="IZB181" s="23"/>
      <c r="IZC181" s="23"/>
      <c r="IZD181" s="23"/>
      <c r="IZE181" s="23"/>
      <c r="IZF181" s="23"/>
      <c r="IZG181" s="23"/>
      <c r="IZH181" s="23"/>
      <c r="IZI181" s="23"/>
      <c r="IZJ181" s="23"/>
      <c r="IZK181" s="23"/>
      <c r="IZL181" s="23"/>
      <c r="IZM181" s="23"/>
      <c r="IZN181" s="23"/>
      <c r="IZO181" s="23"/>
      <c r="IZP181" s="23"/>
      <c r="IZQ181" s="23"/>
      <c r="IZR181" s="23"/>
      <c r="IZS181" s="23"/>
      <c r="IZT181" s="23"/>
      <c r="IZU181" s="23"/>
      <c r="IZV181" s="23"/>
      <c r="IZW181" s="23"/>
      <c r="IZX181" s="23"/>
      <c r="IZY181" s="23"/>
      <c r="IZZ181" s="23"/>
      <c r="JAA181" s="23"/>
      <c r="JAB181" s="23"/>
      <c r="JAC181" s="23"/>
      <c r="JAD181" s="23"/>
      <c r="JAE181" s="23"/>
      <c r="JAF181" s="23"/>
      <c r="JAG181" s="23"/>
      <c r="JAH181" s="23"/>
      <c r="JAI181" s="23"/>
      <c r="JAJ181" s="23"/>
      <c r="JAK181" s="23"/>
      <c r="JAL181" s="23"/>
      <c r="JAM181" s="23"/>
      <c r="JAN181" s="23"/>
      <c r="JAO181" s="23"/>
      <c r="JAP181" s="23"/>
      <c r="JAQ181" s="23"/>
      <c r="JAR181" s="23"/>
      <c r="JAS181" s="23"/>
      <c r="JAT181" s="23"/>
      <c r="JAU181" s="23"/>
      <c r="JAV181" s="23"/>
      <c r="JAW181" s="23"/>
      <c r="JAX181" s="23"/>
      <c r="JAY181" s="23"/>
      <c r="JAZ181" s="23"/>
      <c r="JBA181" s="23"/>
      <c r="JBB181" s="23"/>
      <c r="JBC181" s="23"/>
      <c r="JBD181" s="23"/>
      <c r="JBE181" s="23"/>
      <c r="JBF181" s="23"/>
      <c r="JBG181" s="23"/>
      <c r="JBH181" s="23"/>
      <c r="JBI181" s="23"/>
      <c r="JBJ181" s="23"/>
      <c r="JBK181" s="23"/>
      <c r="JBL181" s="23"/>
      <c r="JBM181" s="23"/>
      <c r="JBN181" s="23"/>
      <c r="JBO181" s="23"/>
      <c r="JBP181" s="23"/>
      <c r="JBQ181" s="23"/>
      <c r="JBR181" s="23"/>
      <c r="JBS181" s="23"/>
      <c r="JBT181" s="23"/>
      <c r="JBU181" s="23"/>
      <c r="JBV181" s="23"/>
      <c r="JBW181" s="23"/>
      <c r="JBX181" s="23"/>
      <c r="JBY181" s="23"/>
      <c r="JBZ181" s="23"/>
      <c r="JCA181" s="23"/>
      <c r="JCB181" s="23"/>
      <c r="JCC181" s="23"/>
      <c r="JCD181" s="23"/>
      <c r="JCE181" s="23"/>
      <c r="JCF181" s="23"/>
      <c r="JCG181" s="23"/>
      <c r="JCH181" s="23"/>
      <c r="JCI181" s="23"/>
      <c r="JCJ181" s="23"/>
      <c r="JCK181" s="23"/>
      <c r="JCL181" s="23"/>
      <c r="JCM181" s="23"/>
      <c r="JCN181" s="23"/>
      <c r="JCO181" s="23"/>
      <c r="JCP181" s="23"/>
      <c r="JCQ181" s="23"/>
      <c r="JCR181" s="23"/>
      <c r="JCS181" s="23"/>
      <c r="JCT181" s="23"/>
      <c r="JCU181" s="23"/>
      <c r="JCV181" s="23"/>
      <c r="JCW181" s="23"/>
      <c r="JCX181" s="23"/>
      <c r="JCY181" s="23"/>
      <c r="JCZ181" s="23"/>
      <c r="JDA181" s="23"/>
      <c r="JDB181" s="23"/>
      <c r="JDC181" s="23"/>
      <c r="JDD181" s="23"/>
      <c r="JDE181" s="23"/>
      <c r="JDF181" s="23"/>
      <c r="JDG181" s="23"/>
      <c r="JDH181" s="23"/>
      <c r="JDI181" s="23"/>
      <c r="JDJ181" s="23"/>
      <c r="JDK181" s="23"/>
      <c r="JDL181" s="23"/>
      <c r="JDM181" s="23"/>
      <c r="JDN181" s="23"/>
      <c r="JDO181" s="23"/>
      <c r="JDP181" s="23"/>
      <c r="JDQ181" s="23"/>
      <c r="JDR181" s="23"/>
      <c r="JDS181" s="23"/>
      <c r="JDT181" s="23"/>
      <c r="JDU181" s="23"/>
      <c r="JDV181" s="23"/>
      <c r="JDW181" s="23"/>
      <c r="JDX181" s="23"/>
      <c r="JDY181" s="23"/>
      <c r="JDZ181" s="23"/>
      <c r="JEA181" s="23"/>
      <c r="JEB181" s="23"/>
      <c r="JEC181" s="23"/>
      <c r="JED181" s="23"/>
      <c r="JEE181" s="23"/>
      <c r="JEF181" s="23"/>
      <c r="JEG181" s="23"/>
      <c r="JEH181" s="23"/>
      <c r="JEI181" s="23"/>
      <c r="JEJ181" s="23"/>
      <c r="JEK181" s="23"/>
      <c r="JEL181" s="23"/>
      <c r="JEM181" s="23"/>
      <c r="JEN181" s="23"/>
      <c r="JEO181" s="23"/>
      <c r="JEP181" s="23"/>
      <c r="JEQ181" s="23"/>
      <c r="JER181" s="23"/>
      <c r="JES181" s="23"/>
      <c r="JET181" s="23"/>
      <c r="JEU181" s="23"/>
      <c r="JEV181" s="23"/>
      <c r="JEW181" s="23"/>
      <c r="JEX181" s="23"/>
      <c r="JEY181" s="23"/>
      <c r="JEZ181" s="23"/>
      <c r="JFA181" s="23"/>
      <c r="JFB181" s="23"/>
      <c r="JFC181" s="23"/>
      <c r="JFD181" s="23"/>
      <c r="JFE181" s="23"/>
      <c r="JFF181" s="23"/>
      <c r="JFG181" s="23"/>
      <c r="JFH181" s="23"/>
      <c r="JFI181" s="23"/>
      <c r="JFJ181" s="23"/>
      <c r="JFK181" s="23"/>
      <c r="JFL181" s="23"/>
      <c r="JFM181" s="23"/>
      <c r="JFN181" s="23"/>
      <c r="JFO181" s="23"/>
      <c r="JFP181" s="23"/>
      <c r="JFQ181" s="23"/>
      <c r="JFR181" s="23"/>
      <c r="JFS181" s="23"/>
      <c r="JFT181" s="23"/>
      <c r="JFU181" s="23"/>
      <c r="JFV181" s="23"/>
      <c r="JFW181" s="23"/>
      <c r="JFX181" s="23"/>
      <c r="JFY181" s="23"/>
      <c r="JFZ181" s="23"/>
      <c r="JGA181" s="23"/>
      <c r="JGB181" s="23"/>
      <c r="JGC181" s="23"/>
      <c r="JGD181" s="23"/>
      <c r="JGE181" s="23"/>
      <c r="JGF181" s="23"/>
      <c r="JGG181" s="23"/>
      <c r="JGH181" s="23"/>
      <c r="JGI181" s="23"/>
      <c r="JGJ181" s="23"/>
      <c r="JGK181" s="23"/>
      <c r="JGL181" s="23"/>
      <c r="JGM181" s="23"/>
      <c r="JGN181" s="23"/>
      <c r="JGO181" s="23"/>
      <c r="JGP181" s="23"/>
      <c r="JGQ181" s="23"/>
      <c r="JGR181" s="23"/>
      <c r="JGS181" s="23"/>
      <c r="JGT181" s="23"/>
      <c r="JGU181" s="23"/>
      <c r="JGV181" s="23"/>
      <c r="JGW181" s="23"/>
      <c r="JGX181" s="23"/>
      <c r="JGY181" s="23"/>
      <c r="JGZ181" s="23"/>
      <c r="JHA181" s="23"/>
      <c r="JHB181" s="23"/>
      <c r="JHC181" s="23"/>
      <c r="JHD181" s="23"/>
      <c r="JHE181" s="23"/>
      <c r="JHF181" s="23"/>
      <c r="JHG181" s="23"/>
      <c r="JHH181" s="23"/>
      <c r="JHI181" s="23"/>
      <c r="JHJ181" s="23"/>
      <c r="JHK181" s="23"/>
      <c r="JHL181" s="23"/>
      <c r="JHM181" s="23"/>
      <c r="JHN181" s="23"/>
      <c r="JHO181" s="23"/>
      <c r="JHP181" s="23"/>
      <c r="JHQ181" s="23"/>
      <c r="JHR181" s="23"/>
      <c r="JHS181" s="23"/>
      <c r="JHT181" s="23"/>
      <c r="JHU181" s="23"/>
      <c r="JHV181" s="23"/>
      <c r="JHW181" s="23"/>
      <c r="JHX181" s="23"/>
      <c r="JHY181" s="23"/>
      <c r="JHZ181" s="23"/>
      <c r="JIA181" s="23"/>
      <c r="JIB181" s="23"/>
      <c r="JIC181" s="23"/>
      <c r="JID181" s="23"/>
      <c r="JIE181" s="23"/>
      <c r="JIF181" s="23"/>
      <c r="JIG181" s="23"/>
      <c r="JIH181" s="23"/>
      <c r="JII181" s="23"/>
      <c r="JIJ181" s="23"/>
      <c r="JIK181" s="23"/>
      <c r="JIL181" s="23"/>
      <c r="JIM181" s="23"/>
      <c r="JIN181" s="23"/>
      <c r="JIO181" s="23"/>
      <c r="JIP181" s="23"/>
      <c r="JIQ181" s="23"/>
      <c r="JIR181" s="23"/>
      <c r="JIS181" s="23"/>
      <c r="JIT181" s="23"/>
      <c r="JIU181" s="23"/>
      <c r="JIV181" s="23"/>
      <c r="JIW181" s="23"/>
      <c r="JIX181" s="23"/>
      <c r="JIY181" s="23"/>
      <c r="JIZ181" s="23"/>
      <c r="JJA181" s="23"/>
      <c r="JJB181" s="23"/>
      <c r="JJC181" s="23"/>
      <c r="JJD181" s="23"/>
      <c r="JJE181" s="23"/>
      <c r="JJF181" s="23"/>
      <c r="JJG181" s="23"/>
      <c r="JJH181" s="23"/>
      <c r="JJI181" s="23"/>
      <c r="JJJ181" s="23"/>
      <c r="JJK181" s="23"/>
      <c r="JJL181" s="23"/>
      <c r="JJM181" s="23"/>
      <c r="JJN181" s="23"/>
      <c r="JJO181" s="23"/>
      <c r="JJP181" s="23"/>
      <c r="JJQ181" s="23"/>
      <c r="JJR181" s="23"/>
      <c r="JJS181" s="23"/>
      <c r="JJT181" s="23"/>
      <c r="JJU181" s="23"/>
      <c r="JJV181" s="23"/>
      <c r="JJW181" s="23"/>
      <c r="JJX181" s="23"/>
      <c r="JJY181" s="23"/>
      <c r="JJZ181" s="23"/>
      <c r="JKA181" s="23"/>
      <c r="JKB181" s="23"/>
      <c r="JKC181" s="23"/>
      <c r="JKD181" s="23"/>
      <c r="JKE181" s="23"/>
      <c r="JKF181" s="23"/>
      <c r="JKG181" s="23"/>
      <c r="JKH181" s="23"/>
      <c r="JKI181" s="23"/>
      <c r="JKJ181" s="23"/>
      <c r="JKK181" s="23"/>
      <c r="JKL181" s="23"/>
      <c r="JKM181" s="23"/>
      <c r="JKN181" s="23"/>
      <c r="JKO181" s="23"/>
      <c r="JKP181" s="23"/>
      <c r="JKQ181" s="23"/>
      <c r="JKR181" s="23"/>
      <c r="JKS181" s="23"/>
      <c r="JKT181" s="23"/>
      <c r="JKU181" s="23"/>
      <c r="JKV181" s="23"/>
      <c r="JKW181" s="23"/>
      <c r="JKX181" s="23"/>
      <c r="JKY181" s="23"/>
      <c r="JKZ181" s="23"/>
      <c r="JLA181" s="23"/>
      <c r="JLB181" s="23"/>
      <c r="JLC181" s="23"/>
      <c r="JLD181" s="23"/>
      <c r="JLE181" s="23"/>
      <c r="JLF181" s="23"/>
      <c r="JLG181" s="23"/>
      <c r="JLH181" s="23"/>
      <c r="JLI181" s="23"/>
      <c r="JLJ181" s="23"/>
      <c r="JLK181" s="23"/>
      <c r="JLL181" s="23"/>
      <c r="JLM181" s="23"/>
      <c r="JLN181" s="23"/>
      <c r="JLO181" s="23"/>
      <c r="JLP181" s="23"/>
      <c r="JLQ181" s="23"/>
      <c r="JLR181" s="23"/>
      <c r="JLS181" s="23"/>
      <c r="JLT181" s="23"/>
      <c r="JLU181" s="23"/>
      <c r="JLV181" s="23"/>
      <c r="JLW181" s="23"/>
      <c r="JLX181" s="23"/>
      <c r="JLY181" s="23"/>
      <c r="JLZ181" s="23"/>
      <c r="JMA181" s="23"/>
      <c r="JMB181" s="23"/>
      <c r="JMC181" s="23"/>
      <c r="JMD181" s="23"/>
      <c r="JME181" s="23"/>
      <c r="JMF181" s="23"/>
      <c r="JMG181" s="23"/>
      <c r="JMH181" s="23"/>
      <c r="JMI181" s="23"/>
      <c r="JMJ181" s="23"/>
      <c r="JMK181" s="23"/>
      <c r="JML181" s="23"/>
      <c r="JMM181" s="23"/>
      <c r="JMN181" s="23"/>
      <c r="JMO181" s="23"/>
      <c r="JMP181" s="23"/>
      <c r="JMQ181" s="23"/>
      <c r="JMR181" s="23"/>
      <c r="JMS181" s="23"/>
      <c r="JMT181" s="23"/>
      <c r="JMU181" s="23"/>
      <c r="JMV181" s="23"/>
      <c r="JMW181" s="23"/>
      <c r="JMX181" s="23"/>
      <c r="JMY181" s="23"/>
      <c r="JMZ181" s="23"/>
      <c r="JNA181" s="23"/>
      <c r="JNB181" s="23"/>
      <c r="JNC181" s="23"/>
      <c r="JND181" s="23"/>
      <c r="JNE181" s="23"/>
      <c r="JNF181" s="23"/>
      <c r="JNG181" s="23"/>
      <c r="JNH181" s="23"/>
      <c r="JNI181" s="23"/>
      <c r="JNJ181" s="23"/>
      <c r="JNK181" s="23"/>
      <c r="JNL181" s="23"/>
      <c r="JNM181" s="23"/>
      <c r="JNN181" s="23"/>
      <c r="JNO181" s="23"/>
      <c r="JNP181" s="23"/>
      <c r="JNQ181" s="23"/>
      <c r="JNR181" s="23"/>
      <c r="JNS181" s="23"/>
      <c r="JNT181" s="23"/>
      <c r="JNU181" s="23"/>
      <c r="JNV181" s="23"/>
      <c r="JNW181" s="23"/>
      <c r="JNX181" s="23"/>
      <c r="JNY181" s="23"/>
      <c r="JNZ181" s="23"/>
      <c r="JOA181" s="23"/>
      <c r="JOB181" s="23"/>
      <c r="JOC181" s="23"/>
      <c r="JOD181" s="23"/>
      <c r="JOE181" s="23"/>
      <c r="JOF181" s="23"/>
      <c r="JOG181" s="23"/>
      <c r="JOH181" s="23"/>
      <c r="JOI181" s="23"/>
      <c r="JOJ181" s="23"/>
      <c r="JOK181" s="23"/>
      <c r="JOL181" s="23"/>
      <c r="JOM181" s="23"/>
      <c r="JON181" s="23"/>
      <c r="JOO181" s="23"/>
      <c r="JOP181" s="23"/>
      <c r="JOQ181" s="23"/>
      <c r="JOR181" s="23"/>
      <c r="JOS181" s="23"/>
      <c r="JOT181" s="23"/>
      <c r="JOU181" s="23"/>
      <c r="JOV181" s="23"/>
      <c r="JOW181" s="23"/>
      <c r="JOX181" s="23"/>
      <c r="JOY181" s="23"/>
      <c r="JOZ181" s="23"/>
      <c r="JPA181" s="23"/>
      <c r="JPB181" s="23"/>
      <c r="JPC181" s="23"/>
      <c r="JPD181" s="23"/>
      <c r="JPE181" s="23"/>
      <c r="JPF181" s="23"/>
      <c r="JPG181" s="23"/>
      <c r="JPH181" s="23"/>
      <c r="JPI181" s="23"/>
      <c r="JPJ181" s="23"/>
      <c r="JPK181" s="23"/>
      <c r="JPL181" s="23"/>
      <c r="JPM181" s="23"/>
      <c r="JPN181" s="23"/>
      <c r="JPO181" s="23"/>
      <c r="JPP181" s="23"/>
      <c r="JPQ181" s="23"/>
      <c r="JPR181" s="23"/>
      <c r="JPS181" s="23"/>
      <c r="JPT181" s="23"/>
      <c r="JPU181" s="23"/>
      <c r="JPV181" s="23"/>
      <c r="JPW181" s="23"/>
      <c r="JPX181" s="23"/>
      <c r="JPY181" s="23"/>
      <c r="JPZ181" s="23"/>
      <c r="JQA181" s="23"/>
      <c r="JQB181" s="23"/>
      <c r="JQC181" s="23"/>
      <c r="JQD181" s="23"/>
      <c r="JQE181" s="23"/>
      <c r="JQF181" s="23"/>
      <c r="JQG181" s="23"/>
      <c r="JQH181" s="23"/>
      <c r="JQI181" s="23"/>
      <c r="JQJ181" s="23"/>
      <c r="JQK181" s="23"/>
      <c r="JQL181" s="23"/>
      <c r="JQM181" s="23"/>
      <c r="JQN181" s="23"/>
      <c r="JQO181" s="23"/>
      <c r="JQP181" s="23"/>
      <c r="JQQ181" s="23"/>
      <c r="JQR181" s="23"/>
      <c r="JQS181" s="23"/>
      <c r="JQT181" s="23"/>
      <c r="JQU181" s="23"/>
      <c r="JQV181" s="23"/>
      <c r="JQW181" s="23"/>
      <c r="JQX181" s="23"/>
      <c r="JQY181" s="23"/>
      <c r="JQZ181" s="23"/>
      <c r="JRA181" s="23"/>
      <c r="JRB181" s="23"/>
      <c r="JRC181" s="23"/>
      <c r="JRD181" s="23"/>
      <c r="JRE181" s="23"/>
      <c r="JRF181" s="23"/>
      <c r="JRG181" s="23"/>
      <c r="JRH181" s="23"/>
      <c r="JRI181" s="23"/>
      <c r="JRJ181" s="23"/>
      <c r="JRK181" s="23"/>
      <c r="JRL181" s="23"/>
      <c r="JRM181" s="23"/>
      <c r="JRN181" s="23"/>
      <c r="JRO181" s="23"/>
      <c r="JRP181" s="23"/>
      <c r="JRQ181" s="23"/>
      <c r="JRR181" s="23"/>
      <c r="JRS181" s="23"/>
      <c r="JRT181" s="23"/>
      <c r="JRU181" s="23"/>
      <c r="JRV181" s="23"/>
      <c r="JRW181" s="23"/>
      <c r="JRX181" s="23"/>
      <c r="JRY181" s="23"/>
      <c r="JRZ181" s="23"/>
      <c r="JSA181" s="23"/>
      <c r="JSB181" s="23"/>
      <c r="JSC181" s="23"/>
      <c r="JSD181" s="23"/>
      <c r="JSE181" s="23"/>
      <c r="JSF181" s="23"/>
      <c r="JSG181" s="23"/>
      <c r="JSH181" s="23"/>
      <c r="JSI181" s="23"/>
      <c r="JSJ181" s="23"/>
      <c r="JSK181" s="23"/>
      <c r="JSL181" s="23"/>
      <c r="JSM181" s="23"/>
      <c r="JSN181" s="23"/>
      <c r="JSO181" s="23"/>
      <c r="JSP181" s="23"/>
      <c r="JSQ181" s="23"/>
      <c r="JSR181" s="23"/>
      <c r="JSS181" s="23"/>
      <c r="JST181" s="23"/>
      <c r="JSU181" s="23"/>
      <c r="JSV181" s="23"/>
      <c r="JSW181" s="23"/>
      <c r="JSX181" s="23"/>
      <c r="JSY181" s="23"/>
      <c r="JSZ181" s="23"/>
      <c r="JTA181" s="23"/>
      <c r="JTB181" s="23"/>
      <c r="JTC181" s="23"/>
      <c r="JTD181" s="23"/>
      <c r="JTE181" s="23"/>
      <c r="JTF181" s="23"/>
      <c r="JTG181" s="23"/>
      <c r="JTH181" s="23"/>
      <c r="JTI181" s="23"/>
      <c r="JTJ181" s="23"/>
      <c r="JTK181" s="23"/>
      <c r="JTL181" s="23"/>
      <c r="JTM181" s="23"/>
      <c r="JTN181" s="23"/>
      <c r="JTO181" s="23"/>
      <c r="JTP181" s="23"/>
      <c r="JTQ181" s="23"/>
      <c r="JTR181" s="23"/>
      <c r="JTS181" s="23"/>
      <c r="JTT181" s="23"/>
      <c r="JTU181" s="23"/>
      <c r="JTV181" s="23"/>
      <c r="JTW181" s="23"/>
      <c r="JTX181" s="23"/>
      <c r="JTY181" s="23"/>
      <c r="JTZ181" s="23"/>
      <c r="JUA181" s="23"/>
      <c r="JUB181" s="23"/>
      <c r="JUC181" s="23"/>
      <c r="JUD181" s="23"/>
      <c r="JUE181" s="23"/>
      <c r="JUF181" s="23"/>
      <c r="JUG181" s="23"/>
      <c r="JUH181" s="23"/>
      <c r="JUI181" s="23"/>
      <c r="JUJ181" s="23"/>
      <c r="JUK181" s="23"/>
      <c r="JUL181" s="23"/>
      <c r="JUM181" s="23"/>
      <c r="JUN181" s="23"/>
      <c r="JUO181" s="23"/>
      <c r="JUP181" s="23"/>
      <c r="JUQ181" s="23"/>
      <c r="JUR181" s="23"/>
      <c r="JUS181" s="23"/>
      <c r="JUT181" s="23"/>
      <c r="JUU181" s="23"/>
      <c r="JUV181" s="23"/>
      <c r="JUW181" s="23"/>
      <c r="JUX181" s="23"/>
      <c r="JUY181" s="23"/>
      <c r="JUZ181" s="23"/>
      <c r="JVA181" s="23"/>
      <c r="JVB181" s="23"/>
      <c r="JVC181" s="23"/>
      <c r="JVD181" s="23"/>
      <c r="JVE181" s="23"/>
      <c r="JVF181" s="23"/>
      <c r="JVG181" s="23"/>
      <c r="JVH181" s="23"/>
      <c r="JVI181" s="23"/>
      <c r="JVJ181" s="23"/>
      <c r="JVK181" s="23"/>
      <c r="JVL181" s="23"/>
      <c r="JVM181" s="23"/>
      <c r="JVN181" s="23"/>
      <c r="JVO181" s="23"/>
      <c r="JVP181" s="23"/>
      <c r="JVQ181" s="23"/>
      <c r="JVR181" s="23"/>
      <c r="JVS181" s="23"/>
      <c r="JVT181" s="23"/>
      <c r="JVU181" s="23"/>
      <c r="JVV181" s="23"/>
      <c r="JVW181" s="23"/>
      <c r="JVX181" s="23"/>
      <c r="JVY181" s="23"/>
      <c r="JVZ181" s="23"/>
      <c r="JWA181" s="23"/>
      <c r="JWB181" s="23"/>
      <c r="JWC181" s="23"/>
      <c r="JWD181" s="23"/>
      <c r="JWE181" s="23"/>
      <c r="JWF181" s="23"/>
      <c r="JWG181" s="23"/>
      <c r="JWH181" s="23"/>
      <c r="JWI181" s="23"/>
      <c r="JWJ181" s="23"/>
      <c r="JWK181" s="23"/>
      <c r="JWL181" s="23"/>
      <c r="JWM181" s="23"/>
      <c r="JWN181" s="23"/>
      <c r="JWO181" s="23"/>
      <c r="JWP181" s="23"/>
      <c r="JWQ181" s="23"/>
      <c r="JWR181" s="23"/>
      <c r="JWS181" s="23"/>
      <c r="JWT181" s="23"/>
      <c r="JWU181" s="23"/>
      <c r="JWV181" s="23"/>
      <c r="JWW181" s="23"/>
      <c r="JWX181" s="23"/>
      <c r="JWY181" s="23"/>
      <c r="JWZ181" s="23"/>
      <c r="JXA181" s="23"/>
      <c r="JXB181" s="23"/>
      <c r="JXC181" s="23"/>
      <c r="JXD181" s="23"/>
      <c r="JXE181" s="23"/>
      <c r="JXF181" s="23"/>
      <c r="JXG181" s="23"/>
      <c r="JXH181" s="23"/>
      <c r="JXI181" s="23"/>
      <c r="JXJ181" s="23"/>
      <c r="JXK181" s="23"/>
      <c r="JXL181" s="23"/>
      <c r="JXM181" s="23"/>
      <c r="JXN181" s="23"/>
      <c r="JXO181" s="23"/>
      <c r="JXP181" s="23"/>
      <c r="JXQ181" s="23"/>
      <c r="JXR181" s="23"/>
      <c r="JXS181" s="23"/>
      <c r="JXT181" s="23"/>
      <c r="JXU181" s="23"/>
      <c r="JXV181" s="23"/>
      <c r="JXW181" s="23"/>
      <c r="JXX181" s="23"/>
      <c r="JXY181" s="23"/>
      <c r="JXZ181" s="23"/>
      <c r="JYA181" s="23"/>
      <c r="JYB181" s="23"/>
      <c r="JYC181" s="23"/>
      <c r="JYD181" s="23"/>
      <c r="JYE181" s="23"/>
      <c r="JYF181" s="23"/>
      <c r="JYG181" s="23"/>
      <c r="JYH181" s="23"/>
      <c r="JYI181" s="23"/>
      <c r="JYJ181" s="23"/>
      <c r="JYK181" s="23"/>
      <c r="JYL181" s="23"/>
      <c r="JYM181" s="23"/>
      <c r="JYN181" s="23"/>
      <c r="JYO181" s="23"/>
      <c r="JYP181" s="23"/>
      <c r="JYQ181" s="23"/>
      <c r="JYR181" s="23"/>
      <c r="JYS181" s="23"/>
      <c r="JYT181" s="23"/>
      <c r="JYU181" s="23"/>
      <c r="JYV181" s="23"/>
      <c r="JYW181" s="23"/>
      <c r="JYX181" s="23"/>
      <c r="JYY181" s="23"/>
      <c r="JYZ181" s="23"/>
      <c r="JZA181" s="23"/>
      <c r="JZB181" s="23"/>
      <c r="JZC181" s="23"/>
      <c r="JZD181" s="23"/>
      <c r="JZE181" s="23"/>
      <c r="JZF181" s="23"/>
      <c r="JZG181" s="23"/>
      <c r="JZH181" s="23"/>
      <c r="JZI181" s="23"/>
      <c r="JZJ181" s="23"/>
      <c r="JZK181" s="23"/>
      <c r="JZL181" s="23"/>
      <c r="JZM181" s="23"/>
      <c r="JZN181" s="23"/>
      <c r="JZO181" s="23"/>
      <c r="JZP181" s="23"/>
      <c r="JZQ181" s="23"/>
      <c r="JZR181" s="23"/>
      <c r="JZS181" s="23"/>
      <c r="JZT181" s="23"/>
      <c r="JZU181" s="23"/>
      <c r="JZV181" s="23"/>
      <c r="JZW181" s="23"/>
      <c r="JZX181" s="23"/>
      <c r="JZY181" s="23"/>
      <c r="JZZ181" s="23"/>
      <c r="KAA181" s="23"/>
      <c r="KAB181" s="23"/>
      <c r="KAC181" s="23"/>
      <c r="KAD181" s="23"/>
      <c r="KAE181" s="23"/>
      <c r="KAF181" s="23"/>
      <c r="KAG181" s="23"/>
      <c r="KAH181" s="23"/>
      <c r="KAI181" s="23"/>
      <c r="KAJ181" s="23"/>
      <c r="KAK181" s="23"/>
      <c r="KAL181" s="23"/>
      <c r="KAM181" s="23"/>
      <c r="KAN181" s="23"/>
      <c r="KAO181" s="23"/>
      <c r="KAP181" s="23"/>
      <c r="KAQ181" s="23"/>
      <c r="KAR181" s="23"/>
      <c r="KAS181" s="23"/>
      <c r="KAT181" s="23"/>
      <c r="KAU181" s="23"/>
      <c r="KAV181" s="23"/>
      <c r="KAW181" s="23"/>
      <c r="KAX181" s="23"/>
      <c r="KAY181" s="23"/>
      <c r="KAZ181" s="23"/>
      <c r="KBA181" s="23"/>
      <c r="KBB181" s="23"/>
      <c r="KBC181" s="23"/>
      <c r="KBD181" s="23"/>
      <c r="KBE181" s="23"/>
      <c r="KBF181" s="23"/>
      <c r="KBG181" s="23"/>
      <c r="KBH181" s="23"/>
      <c r="KBI181" s="23"/>
      <c r="KBJ181" s="23"/>
      <c r="KBK181" s="23"/>
      <c r="KBL181" s="23"/>
      <c r="KBM181" s="23"/>
      <c r="KBN181" s="23"/>
      <c r="KBO181" s="23"/>
      <c r="KBP181" s="23"/>
      <c r="KBQ181" s="23"/>
      <c r="KBR181" s="23"/>
      <c r="KBS181" s="23"/>
      <c r="KBT181" s="23"/>
      <c r="KBU181" s="23"/>
      <c r="KBV181" s="23"/>
      <c r="KBW181" s="23"/>
      <c r="KBX181" s="23"/>
      <c r="KBY181" s="23"/>
      <c r="KBZ181" s="23"/>
      <c r="KCA181" s="23"/>
      <c r="KCB181" s="23"/>
      <c r="KCC181" s="23"/>
      <c r="KCD181" s="23"/>
      <c r="KCE181" s="23"/>
      <c r="KCF181" s="23"/>
      <c r="KCG181" s="23"/>
      <c r="KCH181" s="23"/>
      <c r="KCI181" s="23"/>
      <c r="KCJ181" s="23"/>
      <c r="KCK181" s="23"/>
      <c r="KCL181" s="23"/>
      <c r="KCM181" s="23"/>
      <c r="KCN181" s="23"/>
      <c r="KCO181" s="23"/>
      <c r="KCP181" s="23"/>
      <c r="KCQ181" s="23"/>
      <c r="KCR181" s="23"/>
      <c r="KCS181" s="23"/>
      <c r="KCT181" s="23"/>
      <c r="KCU181" s="23"/>
      <c r="KCV181" s="23"/>
      <c r="KCW181" s="23"/>
      <c r="KCX181" s="23"/>
      <c r="KCY181" s="23"/>
      <c r="KCZ181" s="23"/>
      <c r="KDA181" s="23"/>
      <c r="KDB181" s="23"/>
      <c r="KDC181" s="23"/>
      <c r="KDD181" s="23"/>
      <c r="KDE181" s="23"/>
      <c r="KDF181" s="23"/>
      <c r="KDG181" s="23"/>
      <c r="KDH181" s="23"/>
      <c r="KDI181" s="23"/>
      <c r="KDJ181" s="23"/>
      <c r="KDK181" s="23"/>
      <c r="KDL181" s="23"/>
      <c r="KDM181" s="23"/>
      <c r="KDN181" s="23"/>
      <c r="KDO181" s="23"/>
      <c r="KDP181" s="23"/>
      <c r="KDQ181" s="23"/>
      <c r="KDR181" s="23"/>
      <c r="KDS181" s="23"/>
      <c r="KDT181" s="23"/>
      <c r="KDU181" s="23"/>
      <c r="KDV181" s="23"/>
      <c r="KDW181" s="23"/>
      <c r="KDX181" s="23"/>
      <c r="KDY181" s="23"/>
      <c r="KDZ181" s="23"/>
      <c r="KEA181" s="23"/>
      <c r="KEB181" s="23"/>
      <c r="KEC181" s="23"/>
      <c r="KED181" s="23"/>
      <c r="KEE181" s="23"/>
      <c r="KEF181" s="23"/>
      <c r="KEG181" s="23"/>
      <c r="KEH181" s="23"/>
      <c r="KEI181" s="23"/>
      <c r="KEJ181" s="23"/>
      <c r="KEK181" s="23"/>
      <c r="KEL181" s="23"/>
      <c r="KEM181" s="23"/>
      <c r="KEN181" s="23"/>
      <c r="KEO181" s="23"/>
      <c r="KEP181" s="23"/>
      <c r="KEQ181" s="23"/>
      <c r="KER181" s="23"/>
      <c r="KES181" s="23"/>
      <c r="KET181" s="23"/>
      <c r="KEU181" s="23"/>
      <c r="KEV181" s="23"/>
      <c r="KEW181" s="23"/>
      <c r="KEX181" s="23"/>
      <c r="KEY181" s="23"/>
      <c r="KEZ181" s="23"/>
      <c r="KFA181" s="23"/>
      <c r="KFB181" s="23"/>
      <c r="KFC181" s="23"/>
      <c r="KFD181" s="23"/>
      <c r="KFE181" s="23"/>
      <c r="KFF181" s="23"/>
      <c r="KFG181" s="23"/>
      <c r="KFH181" s="23"/>
      <c r="KFI181" s="23"/>
      <c r="KFJ181" s="23"/>
      <c r="KFK181" s="23"/>
      <c r="KFL181" s="23"/>
      <c r="KFM181" s="23"/>
      <c r="KFN181" s="23"/>
      <c r="KFO181" s="23"/>
      <c r="KFP181" s="23"/>
      <c r="KFQ181" s="23"/>
      <c r="KFR181" s="23"/>
      <c r="KFS181" s="23"/>
      <c r="KFT181" s="23"/>
      <c r="KFU181" s="23"/>
      <c r="KFV181" s="23"/>
      <c r="KFW181" s="23"/>
      <c r="KFX181" s="23"/>
      <c r="KFY181" s="23"/>
      <c r="KFZ181" s="23"/>
      <c r="KGA181" s="23"/>
      <c r="KGB181" s="23"/>
      <c r="KGC181" s="23"/>
      <c r="KGD181" s="23"/>
      <c r="KGE181" s="23"/>
      <c r="KGF181" s="23"/>
      <c r="KGG181" s="23"/>
      <c r="KGH181" s="23"/>
      <c r="KGI181" s="23"/>
      <c r="KGJ181" s="23"/>
      <c r="KGK181" s="23"/>
      <c r="KGL181" s="23"/>
      <c r="KGM181" s="23"/>
      <c r="KGN181" s="23"/>
      <c r="KGO181" s="23"/>
      <c r="KGP181" s="23"/>
      <c r="KGQ181" s="23"/>
      <c r="KGR181" s="23"/>
      <c r="KGS181" s="23"/>
      <c r="KGT181" s="23"/>
      <c r="KGU181" s="23"/>
      <c r="KGV181" s="23"/>
      <c r="KGW181" s="23"/>
      <c r="KGX181" s="23"/>
      <c r="KGY181" s="23"/>
      <c r="KGZ181" s="23"/>
      <c r="KHA181" s="23"/>
      <c r="KHB181" s="23"/>
      <c r="KHC181" s="23"/>
      <c r="KHD181" s="23"/>
      <c r="KHE181" s="23"/>
      <c r="KHF181" s="23"/>
      <c r="KHG181" s="23"/>
      <c r="KHH181" s="23"/>
      <c r="KHI181" s="23"/>
      <c r="KHJ181" s="23"/>
      <c r="KHK181" s="23"/>
      <c r="KHL181" s="23"/>
      <c r="KHM181" s="23"/>
      <c r="KHN181" s="23"/>
      <c r="KHO181" s="23"/>
      <c r="KHP181" s="23"/>
      <c r="KHQ181" s="23"/>
      <c r="KHR181" s="23"/>
      <c r="KHS181" s="23"/>
      <c r="KHT181" s="23"/>
      <c r="KHU181" s="23"/>
      <c r="KHV181" s="23"/>
      <c r="KHW181" s="23"/>
      <c r="KHX181" s="23"/>
      <c r="KHY181" s="23"/>
      <c r="KHZ181" s="23"/>
      <c r="KIA181" s="23"/>
      <c r="KIB181" s="23"/>
      <c r="KIC181" s="23"/>
      <c r="KID181" s="23"/>
      <c r="KIE181" s="23"/>
      <c r="KIF181" s="23"/>
      <c r="KIG181" s="23"/>
      <c r="KIH181" s="23"/>
      <c r="KII181" s="23"/>
      <c r="KIJ181" s="23"/>
      <c r="KIK181" s="23"/>
      <c r="KIL181" s="23"/>
      <c r="KIM181" s="23"/>
      <c r="KIN181" s="23"/>
      <c r="KIO181" s="23"/>
      <c r="KIP181" s="23"/>
      <c r="KIQ181" s="23"/>
      <c r="KIR181" s="23"/>
      <c r="KIS181" s="23"/>
      <c r="KIT181" s="23"/>
      <c r="KIU181" s="23"/>
      <c r="KIV181" s="23"/>
      <c r="KIW181" s="23"/>
      <c r="KIX181" s="23"/>
      <c r="KIY181" s="23"/>
      <c r="KIZ181" s="23"/>
      <c r="KJA181" s="23"/>
      <c r="KJB181" s="23"/>
      <c r="KJC181" s="23"/>
      <c r="KJD181" s="23"/>
      <c r="KJE181" s="23"/>
      <c r="KJF181" s="23"/>
      <c r="KJG181" s="23"/>
      <c r="KJH181" s="23"/>
      <c r="KJI181" s="23"/>
      <c r="KJJ181" s="23"/>
      <c r="KJK181" s="23"/>
      <c r="KJL181" s="23"/>
      <c r="KJM181" s="23"/>
      <c r="KJN181" s="23"/>
      <c r="KJO181" s="23"/>
      <c r="KJP181" s="23"/>
      <c r="KJQ181" s="23"/>
      <c r="KJR181" s="23"/>
      <c r="KJS181" s="23"/>
      <c r="KJT181" s="23"/>
      <c r="KJU181" s="23"/>
      <c r="KJV181" s="23"/>
      <c r="KJW181" s="23"/>
      <c r="KJX181" s="23"/>
      <c r="KJY181" s="23"/>
      <c r="KJZ181" s="23"/>
      <c r="KKA181" s="23"/>
      <c r="KKB181" s="23"/>
      <c r="KKC181" s="23"/>
      <c r="KKD181" s="23"/>
      <c r="KKE181" s="23"/>
      <c r="KKF181" s="23"/>
      <c r="KKG181" s="23"/>
      <c r="KKH181" s="23"/>
      <c r="KKI181" s="23"/>
      <c r="KKJ181" s="23"/>
      <c r="KKK181" s="23"/>
      <c r="KKL181" s="23"/>
      <c r="KKM181" s="23"/>
      <c r="KKN181" s="23"/>
      <c r="KKO181" s="23"/>
      <c r="KKP181" s="23"/>
      <c r="KKQ181" s="23"/>
      <c r="KKR181" s="23"/>
      <c r="KKS181" s="23"/>
      <c r="KKT181" s="23"/>
      <c r="KKU181" s="23"/>
      <c r="KKV181" s="23"/>
      <c r="KKW181" s="23"/>
      <c r="KKX181" s="23"/>
      <c r="KKY181" s="23"/>
      <c r="KKZ181" s="23"/>
      <c r="KLA181" s="23"/>
      <c r="KLB181" s="23"/>
      <c r="KLC181" s="23"/>
      <c r="KLD181" s="23"/>
      <c r="KLE181" s="23"/>
      <c r="KLF181" s="23"/>
      <c r="KLG181" s="23"/>
      <c r="KLH181" s="23"/>
      <c r="KLI181" s="23"/>
      <c r="KLJ181" s="23"/>
      <c r="KLK181" s="23"/>
      <c r="KLL181" s="23"/>
      <c r="KLM181" s="23"/>
      <c r="KLN181" s="23"/>
      <c r="KLO181" s="23"/>
      <c r="KLP181" s="23"/>
      <c r="KLQ181" s="23"/>
      <c r="KLR181" s="23"/>
      <c r="KLS181" s="23"/>
      <c r="KLT181" s="23"/>
      <c r="KLU181" s="23"/>
      <c r="KLV181" s="23"/>
      <c r="KLW181" s="23"/>
      <c r="KLX181" s="23"/>
      <c r="KLY181" s="23"/>
      <c r="KLZ181" s="23"/>
      <c r="KMA181" s="23"/>
      <c r="KMB181" s="23"/>
      <c r="KMC181" s="23"/>
      <c r="KMD181" s="23"/>
      <c r="KME181" s="23"/>
      <c r="KMF181" s="23"/>
      <c r="KMG181" s="23"/>
      <c r="KMH181" s="23"/>
      <c r="KMI181" s="23"/>
      <c r="KMJ181" s="23"/>
      <c r="KMK181" s="23"/>
      <c r="KML181" s="23"/>
      <c r="KMM181" s="23"/>
      <c r="KMN181" s="23"/>
      <c r="KMO181" s="23"/>
      <c r="KMP181" s="23"/>
      <c r="KMQ181" s="23"/>
      <c r="KMR181" s="23"/>
      <c r="KMS181" s="23"/>
      <c r="KMT181" s="23"/>
      <c r="KMU181" s="23"/>
      <c r="KMV181" s="23"/>
      <c r="KMW181" s="23"/>
      <c r="KMX181" s="23"/>
      <c r="KMY181" s="23"/>
      <c r="KMZ181" s="23"/>
      <c r="KNA181" s="23"/>
      <c r="KNB181" s="23"/>
      <c r="KNC181" s="23"/>
      <c r="KND181" s="23"/>
      <c r="KNE181" s="23"/>
      <c r="KNF181" s="23"/>
      <c r="KNG181" s="23"/>
      <c r="KNH181" s="23"/>
      <c r="KNI181" s="23"/>
      <c r="KNJ181" s="23"/>
      <c r="KNK181" s="23"/>
      <c r="KNL181" s="23"/>
      <c r="KNM181" s="23"/>
      <c r="KNN181" s="23"/>
      <c r="KNO181" s="23"/>
      <c r="KNP181" s="23"/>
      <c r="KNQ181" s="23"/>
      <c r="KNR181" s="23"/>
      <c r="KNS181" s="23"/>
      <c r="KNT181" s="23"/>
      <c r="KNU181" s="23"/>
      <c r="KNV181" s="23"/>
      <c r="KNW181" s="23"/>
      <c r="KNX181" s="23"/>
      <c r="KNY181" s="23"/>
      <c r="KNZ181" s="23"/>
      <c r="KOA181" s="23"/>
      <c r="KOB181" s="23"/>
      <c r="KOC181" s="23"/>
      <c r="KOD181" s="23"/>
      <c r="KOE181" s="23"/>
      <c r="KOF181" s="23"/>
      <c r="KOG181" s="23"/>
      <c r="KOH181" s="23"/>
      <c r="KOI181" s="23"/>
      <c r="KOJ181" s="23"/>
      <c r="KOK181" s="23"/>
      <c r="KOL181" s="23"/>
      <c r="KOM181" s="23"/>
      <c r="KON181" s="23"/>
      <c r="KOO181" s="23"/>
      <c r="KOP181" s="23"/>
      <c r="KOQ181" s="23"/>
      <c r="KOR181" s="23"/>
      <c r="KOS181" s="23"/>
      <c r="KOT181" s="23"/>
      <c r="KOU181" s="23"/>
      <c r="KOV181" s="23"/>
      <c r="KOW181" s="23"/>
      <c r="KOX181" s="23"/>
      <c r="KOY181" s="23"/>
      <c r="KOZ181" s="23"/>
      <c r="KPA181" s="23"/>
      <c r="KPB181" s="23"/>
      <c r="KPC181" s="23"/>
      <c r="KPD181" s="23"/>
      <c r="KPE181" s="23"/>
      <c r="KPF181" s="23"/>
      <c r="KPG181" s="23"/>
      <c r="KPH181" s="23"/>
      <c r="KPI181" s="23"/>
      <c r="KPJ181" s="23"/>
      <c r="KPK181" s="23"/>
      <c r="KPL181" s="23"/>
      <c r="KPM181" s="23"/>
      <c r="KPN181" s="23"/>
      <c r="KPO181" s="23"/>
      <c r="KPP181" s="23"/>
      <c r="KPQ181" s="23"/>
      <c r="KPR181" s="23"/>
      <c r="KPS181" s="23"/>
      <c r="KPT181" s="23"/>
      <c r="KPU181" s="23"/>
      <c r="KPV181" s="23"/>
      <c r="KPW181" s="23"/>
      <c r="KPX181" s="23"/>
      <c r="KPY181" s="23"/>
      <c r="KPZ181" s="23"/>
      <c r="KQA181" s="23"/>
      <c r="KQB181" s="23"/>
      <c r="KQC181" s="23"/>
      <c r="KQD181" s="23"/>
      <c r="KQE181" s="23"/>
      <c r="KQF181" s="23"/>
      <c r="KQG181" s="23"/>
      <c r="KQH181" s="23"/>
      <c r="KQI181" s="23"/>
      <c r="KQJ181" s="23"/>
      <c r="KQK181" s="23"/>
      <c r="KQL181" s="23"/>
      <c r="KQM181" s="23"/>
      <c r="KQN181" s="23"/>
      <c r="KQO181" s="23"/>
      <c r="KQP181" s="23"/>
      <c r="KQQ181" s="23"/>
      <c r="KQR181" s="23"/>
      <c r="KQS181" s="23"/>
      <c r="KQT181" s="23"/>
      <c r="KQU181" s="23"/>
      <c r="KQV181" s="23"/>
      <c r="KQW181" s="23"/>
      <c r="KQX181" s="23"/>
      <c r="KQY181" s="23"/>
      <c r="KQZ181" s="23"/>
      <c r="KRA181" s="23"/>
      <c r="KRB181" s="23"/>
      <c r="KRC181" s="23"/>
      <c r="KRD181" s="23"/>
      <c r="KRE181" s="23"/>
      <c r="KRF181" s="23"/>
      <c r="KRG181" s="23"/>
      <c r="KRH181" s="23"/>
      <c r="KRI181" s="23"/>
      <c r="KRJ181" s="23"/>
      <c r="KRK181" s="23"/>
      <c r="KRL181" s="23"/>
      <c r="KRM181" s="23"/>
      <c r="KRN181" s="23"/>
      <c r="KRO181" s="23"/>
      <c r="KRP181" s="23"/>
      <c r="KRQ181" s="23"/>
      <c r="KRR181" s="23"/>
      <c r="KRS181" s="23"/>
      <c r="KRT181" s="23"/>
      <c r="KRU181" s="23"/>
      <c r="KRV181" s="23"/>
      <c r="KRW181" s="23"/>
      <c r="KRX181" s="23"/>
      <c r="KRY181" s="23"/>
      <c r="KRZ181" s="23"/>
      <c r="KSA181" s="23"/>
      <c r="KSB181" s="23"/>
      <c r="KSC181" s="23"/>
      <c r="KSD181" s="23"/>
      <c r="KSE181" s="23"/>
      <c r="KSF181" s="23"/>
      <c r="KSG181" s="23"/>
      <c r="KSH181" s="23"/>
      <c r="KSI181" s="23"/>
      <c r="KSJ181" s="23"/>
      <c r="KSK181" s="23"/>
      <c r="KSL181" s="23"/>
      <c r="KSM181" s="23"/>
      <c r="KSN181" s="23"/>
      <c r="KSO181" s="23"/>
      <c r="KSP181" s="23"/>
      <c r="KSQ181" s="23"/>
      <c r="KSR181" s="23"/>
      <c r="KSS181" s="23"/>
      <c r="KST181" s="23"/>
      <c r="KSU181" s="23"/>
      <c r="KSV181" s="23"/>
      <c r="KSW181" s="23"/>
      <c r="KSX181" s="23"/>
      <c r="KSY181" s="23"/>
      <c r="KSZ181" s="23"/>
      <c r="KTA181" s="23"/>
      <c r="KTB181" s="23"/>
      <c r="KTC181" s="23"/>
      <c r="KTD181" s="23"/>
      <c r="KTE181" s="23"/>
      <c r="KTF181" s="23"/>
      <c r="KTG181" s="23"/>
      <c r="KTH181" s="23"/>
      <c r="KTI181" s="23"/>
      <c r="KTJ181" s="23"/>
      <c r="KTK181" s="23"/>
      <c r="KTL181" s="23"/>
      <c r="KTM181" s="23"/>
      <c r="KTN181" s="23"/>
      <c r="KTO181" s="23"/>
      <c r="KTP181" s="23"/>
      <c r="KTQ181" s="23"/>
      <c r="KTR181" s="23"/>
      <c r="KTS181" s="23"/>
      <c r="KTT181" s="23"/>
      <c r="KTU181" s="23"/>
      <c r="KTV181" s="23"/>
      <c r="KTW181" s="23"/>
      <c r="KTX181" s="23"/>
      <c r="KTY181" s="23"/>
      <c r="KTZ181" s="23"/>
      <c r="KUA181" s="23"/>
      <c r="KUB181" s="23"/>
      <c r="KUC181" s="23"/>
      <c r="KUD181" s="23"/>
      <c r="KUE181" s="23"/>
      <c r="KUF181" s="23"/>
      <c r="KUG181" s="23"/>
      <c r="KUH181" s="23"/>
      <c r="KUI181" s="23"/>
      <c r="KUJ181" s="23"/>
      <c r="KUK181" s="23"/>
      <c r="KUL181" s="23"/>
      <c r="KUM181" s="23"/>
      <c r="KUN181" s="23"/>
      <c r="KUO181" s="23"/>
      <c r="KUP181" s="23"/>
      <c r="KUQ181" s="23"/>
      <c r="KUR181" s="23"/>
      <c r="KUS181" s="23"/>
      <c r="KUT181" s="23"/>
      <c r="KUU181" s="23"/>
      <c r="KUV181" s="23"/>
      <c r="KUW181" s="23"/>
      <c r="KUX181" s="23"/>
      <c r="KUY181" s="23"/>
      <c r="KUZ181" s="23"/>
      <c r="KVA181" s="23"/>
      <c r="KVB181" s="23"/>
      <c r="KVC181" s="23"/>
      <c r="KVD181" s="23"/>
      <c r="KVE181" s="23"/>
      <c r="KVF181" s="23"/>
      <c r="KVG181" s="23"/>
      <c r="KVH181" s="23"/>
      <c r="KVI181" s="23"/>
      <c r="KVJ181" s="23"/>
      <c r="KVK181" s="23"/>
      <c r="KVL181" s="23"/>
      <c r="KVM181" s="23"/>
      <c r="KVN181" s="23"/>
      <c r="KVO181" s="23"/>
      <c r="KVP181" s="23"/>
      <c r="KVQ181" s="23"/>
      <c r="KVR181" s="23"/>
      <c r="KVS181" s="23"/>
      <c r="KVT181" s="23"/>
      <c r="KVU181" s="23"/>
      <c r="KVV181" s="23"/>
      <c r="KVW181" s="23"/>
      <c r="KVX181" s="23"/>
      <c r="KVY181" s="23"/>
      <c r="KVZ181" s="23"/>
      <c r="KWA181" s="23"/>
      <c r="KWB181" s="23"/>
      <c r="KWC181" s="23"/>
      <c r="KWD181" s="23"/>
      <c r="KWE181" s="23"/>
      <c r="KWF181" s="23"/>
      <c r="KWG181" s="23"/>
      <c r="KWH181" s="23"/>
      <c r="KWI181" s="23"/>
      <c r="KWJ181" s="23"/>
      <c r="KWK181" s="23"/>
      <c r="KWL181" s="23"/>
      <c r="KWM181" s="23"/>
      <c r="KWN181" s="23"/>
      <c r="KWO181" s="23"/>
      <c r="KWP181" s="23"/>
      <c r="KWQ181" s="23"/>
      <c r="KWR181" s="23"/>
      <c r="KWS181" s="23"/>
      <c r="KWT181" s="23"/>
      <c r="KWU181" s="23"/>
      <c r="KWV181" s="23"/>
      <c r="KWW181" s="23"/>
      <c r="KWX181" s="23"/>
      <c r="KWY181" s="23"/>
      <c r="KWZ181" s="23"/>
      <c r="KXA181" s="23"/>
      <c r="KXB181" s="23"/>
      <c r="KXC181" s="23"/>
      <c r="KXD181" s="23"/>
      <c r="KXE181" s="23"/>
      <c r="KXF181" s="23"/>
      <c r="KXG181" s="23"/>
      <c r="KXH181" s="23"/>
      <c r="KXI181" s="23"/>
      <c r="KXJ181" s="23"/>
      <c r="KXK181" s="23"/>
      <c r="KXL181" s="23"/>
      <c r="KXM181" s="23"/>
      <c r="KXN181" s="23"/>
      <c r="KXO181" s="23"/>
      <c r="KXP181" s="23"/>
      <c r="KXQ181" s="23"/>
      <c r="KXR181" s="23"/>
      <c r="KXS181" s="23"/>
      <c r="KXT181" s="23"/>
      <c r="KXU181" s="23"/>
      <c r="KXV181" s="23"/>
      <c r="KXW181" s="23"/>
      <c r="KXX181" s="23"/>
      <c r="KXY181" s="23"/>
      <c r="KXZ181" s="23"/>
      <c r="KYA181" s="23"/>
      <c r="KYB181" s="23"/>
      <c r="KYC181" s="23"/>
      <c r="KYD181" s="23"/>
      <c r="KYE181" s="23"/>
      <c r="KYF181" s="23"/>
      <c r="KYG181" s="23"/>
      <c r="KYH181" s="23"/>
      <c r="KYI181" s="23"/>
      <c r="KYJ181" s="23"/>
      <c r="KYK181" s="23"/>
      <c r="KYL181" s="23"/>
      <c r="KYM181" s="23"/>
      <c r="KYN181" s="23"/>
      <c r="KYO181" s="23"/>
      <c r="KYP181" s="23"/>
      <c r="KYQ181" s="23"/>
      <c r="KYR181" s="23"/>
      <c r="KYS181" s="23"/>
      <c r="KYT181" s="23"/>
      <c r="KYU181" s="23"/>
      <c r="KYV181" s="23"/>
      <c r="KYW181" s="23"/>
      <c r="KYX181" s="23"/>
      <c r="KYY181" s="23"/>
      <c r="KYZ181" s="23"/>
      <c r="KZA181" s="23"/>
      <c r="KZB181" s="23"/>
      <c r="KZC181" s="23"/>
      <c r="KZD181" s="23"/>
      <c r="KZE181" s="23"/>
      <c r="KZF181" s="23"/>
      <c r="KZG181" s="23"/>
      <c r="KZH181" s="23"/>
      <c r="KZI181" s="23"/>
      <c r="KZJ181" s="23"/>
      <c r="KZK181" s="23"/>
      <c r="KZL181" s="23"/>
      <c r="KZM181" s="23"/>
      <c r="KZN181" s="23"/>
      <c r="KZO181" s="23"/>
      <c r="KZP181" s="23"/>
      <c r="KZQ181" s="23"/>
      <c r="KZR181" s="23"/>
      <c r="KZS181" s="23"/>
      <c r="KZT181" s="23"/>
      <c r="KZU181" s="23"/>
      <c r="KZV181" s="23"/>
      <c r="KZW181" s="23"/>
      <c r="KZX181" s="23"/>
      <c r="KZY181" s="23"/>
      <c r="KZZ181" s="23"/>
      <c r="LAA181" s="23"/>
      <c r="LAB181" s="23"/>
      <c r="LAC181" s="23"/>
      <c r="LAD181" s="23"/>
      <c r="LAE181" s="23"/>
      <c r="LAF181" s="23"/>
      <c r="LAG181" s="23"/>
      <c r="LAH181" s="23"/>
      <c r="LAI181" s="23"/>
      <c r="LAJ181" s="23"/>
      <c r="LAK181" s="23"/>
      <c r="LAL181" s="23"/>
      <c r="LAM181" s="23"/>
      <c r="LAN181" s="23"/>
      <c r="LAO181" s="23"/>
      <c r="LAP181" s="23"/>
      <c r="LAQ181" s="23"/>
      <c r="LAR181" s="23"/>
      <c r="LAS181" s="23"/>
      <c r="LAT181" s="23"/>
      <c r="LAU181" s="23"/>
      <c r="LAV181" s="23"/>
      <c r="LAW181" s="23"/>
      <c r="LAX181" s="23"/>
      <c r="LAY181" s="23"/>
      <c r="LAZ181" s="23"/>
      <c r="LBA181" s="23"/>
      <c r="LBB181" s="23"/>
      <c r="LBC181" s="23"/>
      <c r="LBD181" s="23"/>
      <c r="LBE181" s="23"/>
      <c r="LBF181" s="23"/>
      <c r="LBG181" s="23"/>
      <c r="LBH181" s="23"/>
      <c r="LBI181" s="23"/>
      <c r="LBJ181" s="23"/>
      <c r="LBK181" s="23"/>
      <c r="LBL181" s="23"/>
      <c r="LBM181" s="23"/>
      <c r="LBN181" s="23"/>
      <c r="LBO181" s="23"/>
      <c r="LBP181" s="23"/>
      <c r="LBQ181" s="23"/>
      <c r="LBR181" s="23"/>
      <c r="LBS181" s="23"/>
      <c r="LBT181" s="23"/>
      <c r="LBU181" s="23"/>
      <c r="LBV181" s="23"/>
      <c r="LBW181" s="23"/>
      <c r="LBX181" s="23"/>
      <c r="LBY181" s="23"/>
      <c r="LBZ181" s="23"/>
      <c r="LCA181" s="23"/>
      <c r="LCB181" s="23"/>
      <c r="LCC181" s="23"/>
      <c r="LCD181" s="23"/>
      <c r="LCE181" s="23"/>
      <c r="LCF181" s="23"/>
      <c r="LCG181" s="23"/>
      <c r="LCH181" s="23"/>
      <c r="LCI181" s="23"/>
      <c r="LCJ181" s="23"/>
      <c r="LCK181" s="23"/>
      <c r="LCL181" s="23"/>
      <c r="LCM181" s="23"/>
      <c r="LCN181" s="23"/>
      <c r="LCO181" s="23"/>
      <c r="LCP181" s="23"/>
      <c r="LCQ181" s="23"/>
      <c r="LCR181" s="23"/>
      <c r="LCS181" s="23"/>
      <c r="LCT181" s="23"/>
      <c r="LCU181" s="23"/>
      <c r="LCV181" s="23"/>
      <c r="LCW181" s="23"/>
      <c r="LCX181" s="23"/>
      <c r="LCY181" s="23"/>
      <c r="LCZ181" s="23"/>
      <c r="LDA181" s="23"/>
      <c r="LDB181" s="23"/>
      <c r="LDC181" s="23"/>
      <c r="LDD181" s="23"/>
      <c r="LDE181" s="23"/>
      <c r="LDF181" s="23"/>
      <c r="LDG181" s="23"/>
      <c r="LDH181" s="23"/>
      <c r="LDI181" s="23"/>
      <c r="LDJ181" s="23"/>
      <c r="LDK181" s="23"/>
      <c r="LDL181" s="23"/>
      <c r="LDM181" s="23"/>
      <c r="LDN181" s="23"/>
      <c r="LDO181" s="23"/>
      <c r="LDP181" s="23"/>
      <c r="LDQ181" s="23"/>
      <c r="LDR181" s="23"/>
      <c r="LDS181" s="23"/>
      <c r="LDT181" s="23"/>
      <c r="LDU181" s="23"/>
      <c r="LDV181" s="23"/>
      <c r="LDW181" s="23"/>
      <c r="LDX181" s="23"/>
      <c r="LDY181" s="23"/>
      <c r="LDZ181" s="23"/>
      <c r="LEA181" s="23"/>
      <c r="LEB181" s="23"/>
      <c r="LEC181" s="23"/>
      <c r="LED181" s="23"/>
      <c r="LEE181" s="23"/>
      <c r="LEF181" s="23"/>
      <c r="LEG181" s="23"/>
      <c r="LEH181" s="23"/>
      <c r="LEI181" s="23"/>
      <c r="LEJ181" s="23"/>
      <c r="LEK181" s="23"/>
      <c r="LEL181" s="23"/>
      <c r="LEM181" s="23"/>
      <c r="LEN181" s="23"/>
      <c r="LEO181" s="23"/>
      <c r="LEP181" s="23"/>
      <c r="LEQ181" s="23"/>
      <c r="LER181" s="23"/>
      <c r="LES181" s="23"/>
      <c r="LET181" s="23"/>
      <c r="LEU181" s="23"/>
      <c r="LEV181" s="23"/>
      <c r="LEW181" s="23"/>
      <c r="LEX181" s="23"/>
      <c r="LEY181" s="23"/>
      <c r="LEZ181" s="23"/>
      <c r="LFA181" s="23"/>
      <c r="LFB181" s="23"/>
      <c r="LFC181" s="23"/>
      <c r="LFD181" s="23"/>
      <c r="LFE181" s="23"/>
      <c r="LFF181" s="23"/>
      <c r="LFG181" s="23"/>
      <c r="LFH181" s="23"/>
      <c r="LFI181" s="23"/>
      <c r="LFJ181" s="23"/>
      <c r="LFK181" s="23"/>
      <c r="LFL181" s="23"/>
      <c r="LFM181" s="23"/>
      <c r="LFN181" s="23"/>
      <c r="LFO181" s="23"/>
      <c r="LFP181" s="23"/>
      <c r="LFQ181" s="23"/>
      <c r="LFR181" s="23"/>
      <c r="LFS181" s="23"/>
      <c r="LFT181" s="23"/>
      <c r="LFU181" s="23"/>
      <c r="LFV181" s="23"/>
      <c r="LFW181" s="23"/>
      <c r="LFX181" s="23"/>
      <c r="LFY181" s="23"/>
      <c r="LFZ181" s="23"/>
      <c r="LGA181" s="23"/>
      <c r="LGB181" s="23"/>
      <c r="LGC181" s="23"/>
      <c r="LGD181" s="23"/>
      <c r="LGE181" s="23"/>
      <c r="LGF181" s="23"/>
      <c r="LGG181" s="23"/>
      <c r="LGH181" s="23"/>
      <c r="LGI181" s="23"/>
      <c r="LGJ181" s="23"/>
      <c r="LGK181" s="23"/>
      <c r="LGL181" s="23"/>
      <c r="LGM181" s="23"/>
      <c r="LGN181" s="23"/>
      <c r="LGO181" s="23"/>
      <c r="LGP181" s="23"/>
      <c r="LGQ181" s="23"/>
      <c r="LGR181" s="23"/>
      <c r="LGS181" s="23"/>
      <c r="LGT181" s="23"/>
      <c r="LGU181" s="23"/>
      <c r="LGV181" s="23"/>
      <c r="LGW181" s="23"/>
      <c r="LGX181" s="23"/>
      <c r="LGY181" s="23"/>
      <c r="LGZ181" s="23"/>
      <c r="LHA181" s="23"/>
      <c r="LHB181" s="23"/>
      <c r="LHC181" s="23"/>
      <c r="LHD181" s="23"/>
      <c r="LHE181" s="23"/>
      <c r="LHF181" s="23"/>
      <c r="LHG181" s="23"/>
      <c r="LHH181" s="23"/>
      <c r="LHI181" s="23"/>
      <c r="LHJ181" s="23"/>
      <c r="LHK181" s="23"/>
      <c r="LHL181" s="23"/>
      <c r="LHM181" s="23"/>
      <c r="LHN181" s="23"/>
      <c r="LHO181" s="23"/>
      <c r="LHP181" s="23"/>
      <c r="LHQ181" s="23"/>
      <c r="LHR181" s="23"/>
      <c r="LHS181" s="23"/>
      <c r="LHT181" s="23"/>
      <c r="LHU181" s="23"/>
      <c r="LHV181" s="23"/>
      <c r="LHW181" s="23"/>
      <c r="LHX181" s="23"/>
      <c r="LHY181" s="23"/>
      <c r="LHZ181" s="23"/>
      <c r="LIA181" s="23"/>
      <c r="LIB181" s="23"/>
      <c r="LIC181" s="23"/>
      <c r="LID181" s="23"/>
      <c r="LIE181" s="23"/>
      <c r="LIF181" s="23"/>
      <c r="LIG181" s="23"/>
      <c r="LIH181" s="23"/>
      <c r="LII181" s="23"/>
      <c r="LIJ181" s="23"/>
      <c r="LIK181" s="23"/>
      <c r="LIL181" s="23"/>
      <c r="LIM181" s="23"/>
      <c r="LIN181" s="23"/>
      <c r="LIO181" s="23"/>
      <c r="LIP181" s="23"/>
      <c r="LIQ181" s="23"/>
      <c r="LIR181" s="23"/>
      <c r="LIS181" s="23"/>
      <c r="LIT181" s="23"/>
      <c r="LIU181" s="23"/>
      <c r="LIV181" s="23"/>
      <c r="LIW181" s="23"/>
      <c r="LIX181" s="23"/>
      <c r="LIY181" s="23"/>
      <c r="LIZ181" s="23"/>
      <c r="LJA181" s="23"/>
      <c r="LJB181" s="23"/>
      <c r="LJC181" s="23"/>
      <c r="LJD181" s="23"/>
      <c r="LJE181" s="23"/>
      <c r="LJF181" s="23"/>
      <c r="LJG181" s="23"/>
      <c r="LJH181" s="23"/>
      <c r="LJI181" s="23"/>
      <c r="LJJ181" s="23"/>
      <c r="LJK181" s="23"/>
      <c r="LJL181" s="23"/>
      <c r="LJM181" s="23"/>
      <c r="LJN181" s="23"/>
      <c r="LJO181" s="23"/>
      <c r="LJP181" s="23"/>
      <c r="LJQ181" s="23"/>
      <c r="LJR181" s="23"/>
      <c r="LJS181" s="23"/>
      <c r="LJT181" s="23"/>
      <c r="LJU181" s="23"/>
      <c r="LJV181" s="23"/>
      <c r="LJW181" s="23"/>
      <c r="LJX181" s="23"/>
      <c r="LJY181" s="23"/>
      <c r="LJZ181" s="23"/>
      <c r="LKA181" s="23"/>
      <c r="LKB181" s="23"/>
      <c r="LKC181" s="23"/>
      <c r="LKD181" s="23"/>
      <c r="LKE181" s="23"/>
      <c r="LKF181" s="23"/>
      <c r="LKG181" s="23"/>
      <c r="LKH181" s="23"/>
      <c r="LKI181" s="23"/>
      <c r="LKJ181" s="23"/>
      <c r="LKK181" s="23"/>
      <c r="LKL181" s="23"/>
      <c r="LKM181" s="23"/>
      <c r="LKN181" s="23"/>
      <c r="LKO181" s="23"/>
      <c r="LKP181" s="23"/>
      <c r="LKQ181" s="23"/>
      <c r="LKR181" s="23"/>
      <c r="LKS181" s="23"/>
      <c r="LKT181" s="23"/>
      <c r="LKU181" s="23"/>
      <c r="LKV181" s="23"/>
      <c r="LKW181" s="23"/>
      <c r="LKX181" s="23"/>
      <c r="LKY181" s="23"/>
      <c r="LKZ181" s="23"/>
      <c r="LLA181" s="23"/>
      <c r="LLB181" s="23"/>
      <c r="LLC181" s="23"/>
      <c r="LLD181" s="23"/>
      <c r="LLE181" s="23"/>
      <c r="LLF181" s="23"/>
      <c r="LLG181" s="23"/>
      <c r="LLH181" s="23"/>
      <c r="LLI181" s="23"/>
      <c r="LLJ181" s="23"/>
      <c r="LLK181" s="23"/>
      <c r="LLL181" s="23"/>
      <c r="LLM181" s="23"/>
      <c r="LLN181" s="23"/>
      <c r="LLO181" s="23"/>
      <c r="LLP181" s="23"/>
      <c r="LLQ181" s="23"/>
      <c r="LLR181" s="23"/>
      <c r="LLS181" s="23"/>
      <c r="LLT181" s="23"/>
      <c r="LLU181" s="23"/>
      <c r="LLV181" s="23"/>
      <c r="LLW181" s="23"/>
      <c r="LLX181" s="23"/>
      <c r="LLY181" s="23"/>
      <c r="LLZ181" s="23"/>
      <c r="LMA181" s="23"/>
      <c r="LMB181" s="23"/>
      <c r="LMC181" s="23"/>
      <c r="LMD181" s="23"/>
      <c r="LME181" s="23"/>
      <c r="LMF181" s="23"/>
      <c r="LMG181" s="23"/>
      <c r="LMH181" s="23"/>
      <c r="LMI181" s="23"/>
      <c r="LMJ181" s="23"/>
      <c r="LMK181" s="23"/>
      <c r="LML181" s="23"/>
      <c r="LMM181" s="23"/>
      <c r="LMN181" s="23"/>
      <c r="LMO181" s="23"/>
      <c r="LMP181" s="23"/>
      <c r="LMQ181" s="23"/>
      <c r="LMR181" s="23"/>
      <c r="LMS181" s="23"/>
      <c r="LMT181" s="23"/>
      <c r="LMU181" s="23"/>
      <c r="LMV181" s="23"/>
      <c r="LMW181" s="23"/>
      <c r="LMX181" s="23"/>
      <c r="LMY181" s="23"/>
      <c r="LMZ181" s="23"/>
      <c r="LNA181" s="23"/>
      <c r="LNB181" s="23"/>
      <c r="LNC181" s="23"/>
      <c r="LND181" s="23"/>
      <c r="LNE181" s="23"/>
      <c r="LNF181" s="23"/>
      <c r="LNG181" s="23"/>
      <c r="LNH181" s="23"/>
      <c r="LNI181" s="23"/>
      <c r="LNJ181" s="23"/>
      <c r="LNK181" s="23"/>
      <c r="LNL181" s="23"/>
      <c r="LNM181" s="23"/>
      <c r="LNN181" s="23"/>
      <c r="LNO181" s="23"/>
      <c r="LNP181" s="23"/>
      <c r="LNQ181" s="23"/>
      <c r="LNR181" s="23"/>
      <c r="LNS181" s="23"/>
      <c r="LNT181" s="23"/>
      <c r="LNU181" s="23"/>
      <c r="LNV181" s="23"/>
      <c r="LNW181" s="23"/>
      <c r="LNX181" s="23"/>
      <c r="LNY181" s="23"/>
      <c r="LNZ181" s="23"/>
      <c r="LOA181" s="23"/>
      <c r="LOB181" s="23"/>
      <c r="LOC181" s="23"/>
      <c r="LOD181" s="23"/>
      <c r="LOE181" s="23"/>
      <c r="LOF181" s="23"/>
      <c r="LOG181" s="23"/>
      <c r="LOH181" s="23"/>
      <c r="LOI181" s="23"/>
      <c r="LOJ181" s="23"/>
      <c r="LOK181" s="23"/>
      <c r="LOL181" s="23"/>
      <c r="LOM181" s="23"/>
      <c r="LON181" s="23"/>
      <c r="LOO181" s="23"/>
      <c r="LOP181" s="23"/>
      <c r="LOQ181" s="23"/>
      <c r="LOR181" s="23"/>
      <c r="LOS181" s="23"/>
      <c r="LOT181" s="23"/>
      <c r="LOU181" s="23"/>
      <c r="LOV181" s="23"/>
      <c r="LOW181" s="23"/>
      <c r="LOX181" s="23"/>
      <c r="LOY181" s="23"/>
      <c r="LOZ181" s="23"/>
      <c r="LPA181" s="23"/>
      <c r="LPB181" s="23"/>
      <c r="LPC181" s="23"/>
      <c r="LPD181" s="23"/>
      <c r="LPE181" s="23"/>
      <c r="LPF181" s="23"/>
      <c r="LPG181" s="23"/>
      <c r="LPH181" s="23"/>
      <c r="LPI181" s="23"/>
      <c r="LPJ181" s="23"/>
      <c r="LPK181" s="23"/>
      <c r="LPL181" s="23"/>
      <c r="LPM181" s="23"/>
      <c r="LPN181" s="23"/>
      <c r="LPO181" s="23"/>
      <c r="LPP181" s="23"/>
      <c r="LPQ181" s="23"/>
      <c r="LPR181" s="23"/>
      <c r="LPS181" s="23"/>
      <c r="LPT181" s="23"/>
      <c r="LPU181" s="23"/>
      <c r="LPV181" s="23"/>
      <c r="LPW181" s="23"/>
      <c r="LPX181" s="23"/>
      <c r="LPY181" s="23"/>
      <c r="LPZ181" s="23"/>
      <c r="LQA181" s="23"/>
      <c r="LQB181" s="23"/>
      <c r="LQC181" s="23"/>
      <c r="LQD181" s="23"/>
      <c r="LQE181" s="23"/>
      <c r="LQF181" s="23"/>
      <c r="LQG181" s="23"/>
      <c r="LQH181" s="23"/>
      <c r="LQI181" s="23"/>
      <c r="LQJ181" s="23"/>
      <c r="LQK181" s="23"/>
      <c r="LQL181" s="23"/>
      <c r="LQM181" s="23"/>
      <c r="LQN181" s="23"/>
      <c r="LQO181" s="23"/>
      <c r="LQP181" s="23"/>
      <c r="LQQ181" s="23"/>
      <c r="LQR181" s="23"/>
      <c r="LQS181" s="23"/>
      <c r="LQT181" s="23"/>
      <c r="LQU181" s="23"/>
      <c r="LQV181" s="23"/>
      <c r="LQW181" s="23"/>
      <c r="LQX181" s="23"/>
      <c r="LQY181" s="23"/>
      <c r="LQZ181" s="23"/>
      <c r="LRA181" s="23"/>
      <c r="LRB181" s="23"/>
      <c r="LRC181" s="23"/>
      <c r="LRD181" s="23"/>
      <c r="LRE181" s="23"/>
      <c r="LRF181" s="23"/>
      <c r="LRG181" s="23"/>
      <c r="LRH181" s="23"/>
      <c r="LRI181" s="23"/>
      <c r="LRJ181" s="23"/>
      <c r="LRK181" s="23"/>
      <c r="LRL181" s="23"/>
      <c r="LRM181" s="23"/>
      <c r="LRN181" s="23"/>
      <c r="LRO181" s="23"/>
      <c r="LRP181" s="23"/>
      <c r="LRQ181" s="23"/>
      <c r="LRR181" s="23"/>
      <c r="LRS181" s="23"/>
      <c r="LRT181" s="23"/>
      <c r="LRU181" s="23"/>
      <c r="LRV181" s="23"/>
      <c r="LRW181" s="23"/>
      <c r="LRX181" s="23"/>
      <c r="LRY181" s="23"/>
      <c r="LRZ181" s="23"/>
      <c r="LSA181" s="23"/>
      <c r="LSB181" s="23"/>
      <c r="LSC181" s="23"/>
      <c r="LSD181" s="23"/>
      <c r="LSE181" s="23"/>
      <c r="LSF181" s="23"/>
      <c r="LSG181" s="23"/>
      <c r="LSH181" s="23"/>
      <c r="LSI181" s="23"/>
      <c r="LSJ181" s="23"/>
      <c r="LSK181" s="23"/>
      <c r="LSL181" s="23"/>
      <c r="LSM181" s="23"/>
      <c r="LSN181" s="23"/>
      <c r="LSO181" s="23"/>
      <c r="LSP181" s="23"/>
      <c r="LSQ181" s="23"/>
      <c r="LSR181" s="23"/>
      <c r="LSS181" s="23"/>
      <c r="LST181" s="23"/>
      <c r="LSU181" s="23"/>
      <c r="LSV181" s="23"/>
      <c r="LSW181" s="23"/>
      <c r="LSX181" s="23"/>
      <c r="LSY181" s="23"/>
      <c r="LSZ181" s="23"/>
      <c r="LTA181" s="23"/>
      <c r="LTB181" s="23"/>
      <c r="LTC181" s="23"/>
      <c r="LTD181" s="23"/>
      <c r="LTE181" s="23"/>
      <c r="LTF181" s="23"/>
      <c r="LTG181" s="23"/>
      <c r="LTH181" s="23"/>
      <c r="LTI181" s="23"/>
      <c r="LTJ181" s="23"/>
      <c r="LTK181" s="23"/>
      <c r="LTL181" s="23"/>
      <c r="LTM181" s="23"/>
      <c r="LTN181" s="23"/>
      <c r="LTO181" s="23"/>
      <c r="LTP181" s="23"/>
      <c r="LTQ181" s="23"/>
      <c r="LTR181" s="23"/>
      <c r="LTS181" s="23"/>
      <c r="LTT181" s="23"/>
      <c r="LTU181" s="23"/>
      <c r="LTV181" s="23"/>
      <c r="LTW181" s="23"/>
      <c r="LTX181" s="23"/>
      <c r="LTY181" s="23"/>
      <c r="LTZ181" s="23"/>
      <c r="LUA181" s="23"/>
      <c r="LUB181" s="23"/>
      <c r="LUC181" s="23"/>
      <c r="LUD181" s="23"/>
      <c r="LUE181" s="23"/>
      <c r="LUF181" s="23"/>
      <c r="LUG181" s="23"/>
      <c r="LUH181" s="23"/>
      <c r="LUI181" s="23"/>
      <c r="LUJ181" s="23"/>
      <c r="LUK181" s="23"/>
      <c r="LUL181" s="23"/>
      <c r="LUM181" s="23"/>
      <c r="LUN181" s="23"/>
      <c r="LUO181" s="23"/>
      <c r="LUP181" s="23"/>
      <c r="LUQ181" s="23"/>
      <c r="LUR181" s="23"/>
      <c r="LUS181" s="23"/>
      <c r="LUT181" s="23"/>
      <c r="LUU181" s="23"/>
      <c r="LUV181" s="23"/>
      <c r="LUW181" s="23"/>
      <c r="LUX181" s="23"/>
      <c r="LUY181" s="23"/>
      <c r="LUZ181" s="23"/>
      <c r="LVA181" s="23"/>
      <c r="LVB181" s="23"/>
      <c r="LVC181" s="23"/>
      <c r="LVD181" s="23"/>
      <c r="LVE181" s="23"/>
      <c r="LVF181" s="23"/>
      <c r="LVG181" s="23"/>
      <c r="LVH181" s="23"/>
      <c r="LVI181" s="23"/>
      <c r="LVJ181" s="23"/>
      <c r="LVK181" s="23"/>
      <c r="LVL181" s="23"/>
      <c r="LVM181" s="23"/>
      <c r="LVN181" s="23"/>
      <c r="LVO181" s="23"/>
      <c r="LVP181" s="23"/>
      <c r="LVQ181" s="23"/>
      <c r="LVR181" s="23"/>
      <c r="LVS181" s="23"/>
      <c r="LVT181" s="23"/>
      <c r="LVU181" s="23"/>
      <c r="LVV181" s="23"/>
      <c r="LVW181" s="23"/>
      <c r="LVX181" s="23"/>
      <c r="LVY181" s="23"/>
      <c r="LVZ181" s="23"/>
      <c r="LWA181" s="23"/>
      <c r="LWB181" s="23"/>
      <c r="LWC181" s="23"/>
      <c r="LWD181" s="23"/>
      <c r="LWE181" s="23"/>
      <c r="LWF181" s="23"/>
      <c r="LWG181" s="23"/>
      <c r="LWH181" s="23"/>
      <c r="LWI181" s="23"/>
      <c r="LWJ181" s="23"/>
      <c r="LWK181" s="23"/>
      <c r="LWL181" s="23"/>
      <c r="LWM181" s="23"/>
      <c r="LWN181" s="23"/>
      <c r="LWO181" s="23"/>
      <c r="LWP181" s="23"/>
      <c r="LWQ181" s="23"/>
      <c r="LWR181" s="23"/>
      <c r="LWS181" s="23"/>
      <c r="LWT181" s="23"/>
      <c r="LWU181" s="23"/>
      <c r="LWV181" s="23"/>
      <c r="LWW181" s="23"/>
      <c r="LWX181" s="23"/>
      <c r="LWY181" s="23"/>
      <c r="LWZ181" s="23"/>
      <c r="LXA181" s="23"/>
      <c r="LXB181" s="23"/>
      <c r="LXC181" s="23"/>
      <c r="LXD181" s="23"/>
      <c r="LXE181" s="23"/>
      <c r="LXF181" s="23"/>
      <c r="LXG181" s="23"/>
      <c r="LXH181" s="23"/>
      <c r="LXI181" s="23"/>
      <c r="LXJ181" s="23"/>
      <c r="LXK181" s="23"/>
      <c r="LXL181" s="23"/>
      <c r="LXM181" s="23"/>
      <c r="LXN181" s="23"/>
      <c r="LXO181" s="23"/>
      <c r="LXP181" s="23"/>
      <c r="LXQ181" s="23"/>
      <c r="LXR181" s="23"/>
      <c r="LXS181" s="23"/>
      <c r="LXT181" s="23"/>
      <c r="LXU181" s="23"/>
      <c r="LXV181" s="23"/>
      <c r="LXW181" s="23"/>
      <c r="LXX181" s="23"/>
      <c r="LXY181" s="23"/>
      <c r="LXZ181" s="23"/>
      <c r="LYA181" s="23"/>
      <c r="LYB181" s="23"/>
      <c r="LYC181" s="23"/>
      <c r="LYD181" s="23"/>
      <c r="LYE181" s="23"/>
      <c r="LYF181" s="23"/>
      <c r="LYG181" s="23"/>
      <c r="LYH181" s="23"/>
      <c r="LYI181" s="23"/>
      <c r="LYJ181" s="23"/>
      <c r="LYK181" s="23"/>
      <c r="LYL181" s="23"/>
      <c r="LYM181" s="23"/>
      <c r="LYN181" s="23"/>
      <c r="LYO181" s="23"/>
      <c r="LYP181" s="23"/>
      <c r="LYQ181" s="23"/>
      <c r="LYR181" s="23"/>
      <c r="LYS181" s="23"/>
      <c r="LYT181" s="23"/>
      <c r="LYU181" s="23"/>
      <c r="LYV181" s="23"/>
      <c r="LYW181" s="23"/>
      <c r="LYX181" s="23"/>
      <c r="LYY181" s="23"/>
      <c r="LYZ181" s="23"/>
      <c r="LZA181" s="23"/>
      <c r="LZB181" s="23"/>
      <c r="LZC181" s="23"/>
      <c r="LZD181" s="23"/>
      <c r="LZE181" s="23"/>
      <c r="LZF181" s="23"/>
      <c r="LZG181" s="23"/>
      <c r="LZH181" s="23"/>
      <c r="LZI181" s="23"/>
      <c r="LZJ181" s="23"/>
      <c r="LZK181" s="23"/>
      <c r="LZL181" s="23"/>
      <c r="LZM181" s="23"/>
      <c r="LZN181" s="23"/>
      <c r="LZO181" s="23"/>
      <c r="LZP181" s="23"/>
      <c r="LZQ181" s="23"/>
      <c r="LZR181" s="23"/>
      <c r="LZS181" s="23"/>
      <c r="LZT181" s="23"/>
      <c r="LZU181" s="23"/>
      <c r="LZV181" s="23"/>
      <c r="LZW181" s="23"/>
      <c r="LZX181" s="23"/>
      <c r="LZY181" s="23"/>
      <c r="LZZ181" s="23"/>
      <c r="MAA181" s="23"/>
      <c r="MAB181" s="23"/>
      <c r="MAC181" s="23"/>
      <c r="MAD181" s="23"/>
      <c r="MAE181" s="23"/>
      <c r="MAF181" s="23"/>
      <c r="MAG181" s="23"/>
      <c r="MAH181" s="23"/>
      <c r="MAI181" s="23"/>
      <c r="MAJ181" s="23"/>
      <c r="MAK181" s="23"/>
      <c r="MAL181" s="23"/>
      <c r="MAM181" s="23"/>
      <c r="MAN181" s="23"/>
      <c r="MAO181" s="23"/>
      <c r="MAP181" s="23"/>
      <c r="MAQ181" s="23"/>
      <c r="MAR181" s="23"/>
      <c r="MAS181" s="23"/>
      <c r="MAT181" s="23"/>
      <c r="MAU181" s="23"/>
      <c r="MAV181" s="23"/>
      <c r="MAW181" s="23"/>
      <c r="MAX181" s="23"/>
      <c r="MAY181" s="23"/>
      <c r="MAZ181" s="23"/>
      <c r="MBA181" s="23"/>
      <c r="MBB181" s="23"/>
      <c r="MBC181" s="23"/>
      <c r="MBD181" s="23"/>
      <c r="MBE181" s="23"/>
      <c r="MBF181" s="23"/>
      <c r="MBG181" s="23"/>
      <c r="MBH181" s="23"/>
      <c r="MBI181" s="23"/>
      <c r="MBJ181" s="23"/>
      <c r="MBK181" s="23"/>
      <c r="MBL181" s="23"/>
      <c r="MBM181" s="23"/>
      <c r="MBN181" s="23"/>
      <c r="MBO181" s="23"/>
      <c r="MBP181" s="23"/>
      <c r="MBQ181" s="23"/>
      <c r="MBR181" s="23"/>
      <c r="MBS181" s="23"/>
      <c r="MBT181" s="23"/>
      <c r="MBU181" s="23"/>
      <c r="MBV181" s="23"/>
      <c r="MBW181" s="23"/>
      <c r="MBX181" s="23"/>
      <c r="MBY181" s="23"/>
      <c r="MBZ181" s="23"/>
      <c r="MCA181" s="23"/>
      <c r="MCB181" s="23"/>
      <c r="MCC181" s="23"/>
      <c r="MCD181" s="23"/>
      <c r="MCE181" s="23"/>
      <c r="MCF181" s="23"/>
      <c r="MCG181" s="23"/>
      <c r="MCH181" s="23"/>
      <c r="MCI181" s="23"/>
      <c r="MCJ181" s="23"/>
      <c r="MCK181" s="23"/>
      <c r="MCL181" s="23"/>
      <c r="MCM181" s="23"/>
      <c r="MCN181" s="23"/>
      <c r="MCO181" s="23"/>
      <c r="MCP181" s="23"/>
      <c r="MCQ181" s="23"/>
      <c r="MCR181" s="23"/>
      <c r="MCS181" s="23"/>
      <c r="MCT181" s="23"/>
      <c r="MCU181" s="23"/>
      <c r="MCV181" s="23"/>
      <c r="MCW181" s="23"/>
      <c r="MCX181" s="23"/>
      <c r="MCY181" s="23"/>
      <c r="MCZ181" s="23"/>
      <c r="MDA181" s="23"/>
      <c r="MDB181" s="23"/>
      <c r="MDC181" s="23"/>
      <c r="MDD181" s="23"/>
      <c r="MDE181" s="23"/>
      <c r="MDF181" s="23"/>
      <c r="MDG181" s="23"/>
      <c r="MDH181" s="23"/>
      <c r="MDI181" s="23"/>
      <c r="MDJ181" s="23"/>
      <c r="MDK181" s="23"/>
      <c r="MDL181" s="23"/>
      <c r="MDM181" s="23"/>
      <c r="MDN181" s="23"/>
      <c r="MDO181" s="23"/>
      <c r="MDP181" s="23"/>
      <c r="MDQ181" s="23"/>
      <c r="MDR181" s="23"/>
      <c r="MDS181" s="23"/>
      <c r="MDT181" s="23"/>
      <c r="MDU181" s="23"/>
      <c r="MDV181" s="23"/>
      <c r="MDW181" s="23"/>
      <c r="MDX181" s="23"/>
      <c r="MDY181" s="23"/>
      <c r="MDZ181" s="23"/>
      <c r="MEA181" s="23"/>
      <c r="MEB181" s="23"/>
      <c r="MEC181" s="23"/>
      <c r="MED181" s="23"/>
      <c r="MEE181" s="23"/>
      <c r="MEF181" s="23"/>
      <c r="MEG181" s="23"/>
      <c r="MEH181" s="23"/>
      <c r="MEI181" s="23"/>
      <c r="MEJ181" s="23"/>
      <c r="MEK181" s="23"/>
      <c r="MEL181" s="23"/>
      <c r="MEM181" s="23"/>
      <c r="MEN181" s="23"/>
      <c r="MEO181" s="23"/>
      <c r="MEP181" s="23"/>
      <c r="MEQ181" s="23"/>
      <c r="MER181" s="23"/>
      <c r="MES181" s="23"/>
      <c r="MET181" s="23"/>
      <c r="MEU181" s="23"/>
      <c r="MEV181" s="23"/>
      <c r="MEW181" s="23"/>
      <c r="MEX181" s="23"/>
      <c r="MEY181" s="23"/>
      <c r="MEZ181" s="23"/>
      <c r="MFA181" s="23"/>
      <c r="MFB181" s="23"/>
      <c r="MFC181" s="23"/>
      <c r="MFD181" s="23"/>
      <c r="MFE181" s="23"/>
      <c r="MFF181" s="23"/>
      <c r="MFG181" s="23"/>
      <c r="MFH181" s="23"/>
      <c r="MFI181" s="23"/>
      <c r="MFJ181" s="23"/>
      <c r="MFK181" s="23"/>
      <c r="MFL181" s="23"/>
      <c r="MFM181" s="23"/>
      <c r="MFN181" s="23"/>
      <c r="MFO181" s="23"/>
      <c r="MFP181" s="23"/>
      <c r="MFQ181" s="23"/>
      <c r="MFR181" s="23"/>
      <c r="MFS181" s="23"/>
      <c r="MFT181" s="23"/>
      <c r="MFU181" s="23"/>
      <c r="MFV181" s="23"/>
      <c r="MFW181" s="23"/>
      <c r="MFX181" s="23"/>
      <c r="MFY181" s="23"/>
      <c r="MFZ181" s="23"/>
      <c r="MGA181" s="23"/>
      <c r="MGB181" s="23"/>
      <c r="MGC181" s="23"/>
      <c r="MGD181" s="23"/>
      <c r="MGE181" s="23"/>
      <c r="MGF181" s="23"/>
      <c r="MGG181" s="23"/>
      <c r="MGH181" s="23"/>
      <c r="MGI181" s="23"/>
      <c r="MGJ181" s="23"/>
      <c r="MGK181" s="23"/>
      <c r="MGL181" s="23"/>
      <c r="MGM181" s="23"/>
      <c r="MGN181" s="23"/>
      <c r="MGO181" s="23"/>
      <c r="MGP181" s="23"/>
      <c r="MGQ181" s="23"/>
      <c r="MGR181" s="23"/>
      <c r="MGS181" s="23"/>
      <c r="MGT181" s="23"/>
      <c r="MGU181" s="23"/>
      <c r="MGV181" s="23"/>
      <c r="MGW181" s="23"/>
      <c r="MGX181" s="23"/>
      <c r="MGY181" s="23"/>
      <c r="MGZ181" s="23"/>
      <c r="MHA181" s="23"/>
      <c r="MHB181" s="23"/>
      <c r="MHC181" s="23"/>
      <c r="MHD181" s="23"/>
      <c r="MHE181" s="23"/>
      <c r="MHF181" s="23"/>
      <c r="MHG181" s="23"/>
      <c r="MHH181" s="23"/>
      <c r="MHI181" s="23"/>
      <c r="MHJ181" s="23"/>
      <c r="MHK181" s="23"/>
      <c r="MHL181" s="23"/>
      <c r="MHM181" s="23"/>
      <c r="MHN181" s="23"/>
      <c r="MHO181" s="23"/>
      <c r="MHP181" s="23"/>
      <c r="MHQ181" s="23"/>
      <c r="MHR181" s="23"/>
      <c r="MHS181" s="23"/>
      <c r="MHT181" s="23"/>
      <c r="MHU181" s="23"/>
      <c r="MHV181" s="23"/>
      <c r="MHW181" s="23"/>
      <c r="MHX181" s="23"/>
      <c r="MHY181" s="23"/>
      <c r="MHZ181" s="23"/>
      <c r="MIA181" s="23"/>
      <c r="MIB181" s="23"/>
      <c r="MIC181" s="23"/>
      <c r="MID181" s="23"/>
      <c r="MIE181" s="23"/>
      <c r="MIF181" s="23"/>
      <c r="MIG181" s="23"/>
      <c r="MIH181" s="23"/>
      <c r="MII181" s="23"/>
      <c r="MIJ181" s="23"/>
      <c r="MIK181" s="23"/>
      <c r="MIL181" s="23"/>
      <c r="MIM181" s="23"/>
      <c r="MIN181" s="23"/>
      <c r="MIO181" s="23"/>
      <c r="MIP181" s="23"/>
      <c r="MIQ181" s="23"/>
      <c r="MIR181" s="23"/>
      <c r="MIS181" s="23"/>
      <c r="MIT181" s="23"/>
      <c r="MIU181" s="23"/>
      <c r="MIV181" s="23"/>
      <c r="MIW181" s="23"/>
      <c r="MIX181" s="23"/>
      <c r="MIY181" s="23"/>
      <c r="MIZ181" s="23"/>
      <c r="MJA181" s="23"/>
      <c r="MJB181" s="23"/>
      <c r="MJC181" s="23"/>
      <c r="MJD181" s="23"/>
      <c r="MJE181" s="23"/>
      <c r="MJF181" s="23"/>
      <c r="MJG181" s="23"/>
      <c r="MJH181" s="23"/>
      <c r="MJI181" s="23"/>
      <c r="MJJ181" s="23"/>
      <c r="MJK181" s="23"/>
      <c r="MJL181" s="23"/>
      <c r="MJM181" s="23"/>
      <c r="MJN181" s="23"/>
      <c r="MJO181" s="23"/>
      <c r="MJP181" s="23"/>
      <c r="MJQ181" s="23"/>
      <c r="MJR181" s="23"/>
      <c r="MJS181" s="23"/>
      <c r="MJT181" s="23"/>
      <c r="MJU181" s="23"/>
      <c r="MJV181" s="23"/>
      <c r="MJW181" s="23"/>
      <c r="MJX181" s="23"/>
      <c r="MJY181" s="23"/>
      <c r="MJZ181" s="23"/>
      <c r="MKA181" s="23"/>
      <c r="MKB181" s="23"/>
      <c r="MKC181" s="23"/>
      <c r="MKD181" s="23"/>
      <c r="MKE181" s="23"/>
      <c r="MKF181" s="23"/>
      <c r="MKG181" s="23"/>
      <c r="MKH181" s="23"/>
      <c r="MKI181" s="23"/>
      <c r="MKJ181" s="23"/>
      <c r="MKK181" s="23"/>
      <c r="MKL181" s="23"/>
      <c r="MKM181" s="23"/>
      <c r="MKN181" s="23"/>
      <c r="MKO181" s="23"/>
      <c r="MKP181" s="23"/>
      <c r="MKQ181" s="23"/>
      <c r="MKR181" s="23"/>
      <c r="MKS181" s="23"/>
      <c r="MKT181" s="23"/>
      <c r="MKU181" s="23"/>
      <c r="MKV181" s="23"/>
      <c r="MKW181" s="23"/>
      <c r="MKX181" s="23"/>
      <c r="MKY181" s="23"/>
      <c r="MKZ181" s="23"/>
      <c r="MLA181" s="23"/>
      <c r="MLB181" s="23"/>
      <c r="MLC181" s="23"/>
      <c r="MLD181" s="23"/>
      <c r="MLE181" s="23"/>
      <c r="MLF181" s="23"/>
      <c r="MLG181" s="23"/>
      <c r="MLH181" s="23"/>
      <c r="MLI181" s="23"/>
      <c r="MLJ181" s="23"/>
      <c r="MLK181" s="23"/>
      <c r="MLL181" s="23"/>
      <c r="MLM181" s="23"/>
      <c r="MLN181" s="23"/>
      <c r="MLO181" s="23"/>
      <c r="MLP181" s="23"/>
      <c r="MLQ181" s="23"/>
      <c r="MLR181" s="23"/>
      <c r="MLS181" s="23"/>
      <c r="MLT181" s="23"/>
      <c r="MLU181" s="23"/>
      <c r="MLV181" s="23"/>
      <c r="MLW181" s="23"/>
      <c r="MLX181" s="23"/>
      <c r="MLY181" s="23"/>
      <c r="MLZ181" s="23"/>
      <c r="MMA181" s="23"/>
      <c r="MMB181" s="23"/>
      <c r="MMC181" s="23"/>
      <c r="MMD181" s="23"/>
      <c r="MME181" s="23"/>
      <c r="MMF181" s="23"/>
      <c r="MMG181" s="23"/>
      <c r="MMH181" s="23"/>
      <c r="MMI181" s="23"/>
      <c r="MMJ181" s="23"/>
      <c r="MMK181" s="23"/>
      <c r="MML181" s="23"/>
      <c r="MMM181" s="23"/>
      <c r="MMN181" s="23"/>
      <c r="MMO181" s="23"/>
      <c r="MMP181" s="23"/>
      <c r="MMQ181" s="23"/>
      <c r="MMR181" s="23"/>
      <c r="MMS181" s="23"/>
      <c r="MMT181" s="23"/>
      <c r="MMU181" s="23"/>
      <c r="MMV181" s="23"/>
      <c r="MMW181" s="23"/>
      <c r="MMX181" s="23"/>
      <c r="MMY181" s="23"/>
      <c r="MMZ181" s="23"/>
      <c r="MNA181" s="23"/>
      <c r="MNB181" s="23"/>
      <c r="MNC181" s="23"/>
      <c r="MND181" s="23"/>
      <c r="MNE181" s="23"/>
      <c r="MNF181" s="23"/>
      <c r="MNG181" s="23"/>
      <c r="MNH181" s="23"/>
      <c r="MNI181" s="23"/>
      <c r="MNJ181" s="23"/>
      <c r="MNK181" s="23"/>
      <c r="MNL181" s="23"/>
      <c r="MNM181" s="23"/>
      <c r="MNN181" s="23"/>
      <c r="MNO181" s="23"/>
      <c r="MNP181" s="23"/>
      <c r="MNQ181" s="23"/>
      <c r="MNR181" s="23"/>
      <c r="MNS181" s="23"/>
      <c r="MNT181" s="23"/>
      <c r="MNU181" s="23"/>
      <c r="MNV181" s="23"/>
      <c r="MNW181" s="23"/>
      <c r="MNX181" s="23"/>
      <c r="MNY181" s="23"/>
      <c r="MNZ181" s="23"/>
      <c r="MOA181" s="23"/>
      <c r="MOB181" s="23"/>
      <c r="MOC181" s="23"/>
      <c r="MOD181" s="23"/>
      <c r="MOE181" s="23"/>
      <c r="MOF181" s="23"/>
      <c r="MOG181" s="23"/>
      <c r="MOH181" s="23"/>
      <c r="MOI181" s="23"/>
      <c r="MOJ181" s="23"/>
      <c r="MOK181" s="23"/>
      <c r="MOL181" s="23"/>
      <c r="MOM181" s="23"/>
      <c r="MON181" s="23"/>
      <c r="MOO181" s="23"/>
      <c r="MOP181" s="23"/>
      <c r="MOQ181" s="23"/>
      <c r="MOR181" s="23"/>
      <c r="MOS181" s="23"/>
      <c r="MOT181" s="23"/>
      <c r="MOU181" s="23"/>
      <c r="MOV181" s="23"/>
      <c r="MOW181" s="23"/>
      <c r="MOX181" s="23"/>
      <c r="MOY181" s="23"/>
      <c r="MOZ181" s="23"/>
      <c r="MPA181" s="23"/>
      <c r="MPB181" s="23"/>
      <c r="MPC181" s="23"/>
      <c r="MPD181" s="23"/>
      <c r="MPE181" s="23"/>
      <c r="MPF181" s="23"/>
      <c r="MPG181" s="23"/>
      <c r="MPH181" s="23"/>
      <c r="MPI181" s="23"/>
      <c r="MPJ181" s="23"/>
      <c r="MPK181" s="23"/>
      <c r="MPL181" s="23"/>
      <c r="MPM181" s="23"/>
      <c r="MPN181" s="23"/>
      <c r="MPO181" s="23"/>
      <c r="MPP181" s="23"/>
      <c r="MPQ181" s="23"/>
      <c r="MPR181" s="23"/>
      <c r="MPS181" s="23"/>
      <c r="MPT181" s="23"/>
      <c r="MPU181" s="23"/>
      <c r="MPV181" s="23"/>
      <c r="MPW181" s="23"/>
      <c r="MPX181" s="23"/>
      <c r="MPY181" s="23"/>
      <c r="MPZ181" s="23"/>
      <c r="MQA181" s="23"/>
      <c r="MQB181" s="23"/>
      <c r="MQC181" s="23"/>
      <c r="MQD181" s="23"/>
      <c r="MQE181" s="23"/>
      <c r="MQF181" s="23"/>
      <c r="MQG181" s="23"/>
      <c r="MQH181" s="23"/>
      <c r="MQI181" s="23"/>
      <c r="MQJ181" s="23"/>
      <c r="MQK181" s="23"/>
      <c r="MQL181" s="23"/>
      <c r="MQM181" s="23"/>
      <c r="MQN181" s="23"/>
      <c r="MQO181" s="23"/>
      <c r="MQP181" s="23"/>
      <c r="MQQ181" s="23"/>
      <c r="MQR181" s="23"/>
      <c r="MQS181" s="23"/>
      <c r="MQT181" s="23"/>
      <c r="MQU181" s="23"/>
      <c r="MQV181" s="23"/>
      <c r="MQW181" s="23"/>
      <c r="MQX181" s="23"/>
      <c r="MQY181" s="23"/>
      <c r="MQZ181" s="23"/>
      <c r="MRA181" s="23"/>
      <c r="MRB181" s="23"/>
      <c r="MRC181" s="23"/>
      <c r="MRD181" s="23"/>
      <c r="MRE181" s="23"/>
      <c r="MRF181" s="23"/>
      <c r="MRG181" s="23"/>
      <c r="MRH181" s="23"/>
      <c r="MRI181" s="23"/>
      <c r="MRJ181" s="23"/>
      <c r="MRK181" s="23"/>
      <c r="MRL181" s="23"/>
      <c r="MRM181" s="23"/>
      <c r="MRN181" s="23"/>
      <c r="MRO181" s="23"/>
      <c r="MRP181" s="23"/>
      <c r="MRQ181" s="23"/>
      <c r="MRR181" s="23"/>
      <c r="MRS181" s="23"/>
      <c r="MRT181" s="23"/>
      <c r="MRU181" s="23"/>
      <c r="MRV181" s="23"/>
      <c r="MRW181" s="23"/>
      <c r="MRX181" s="23"/>
      <c r="MRY181" s="23"/>
      <c r="MRZ181" s="23"/>
      <c r="MSA181" s="23"/>
      <c r="MSB181" s="23"/>
      <c r="MSC181" s="23"/>
      <c r="MSD181" s="23"/>
      <c r="MSE181" s="23"/>
      <c r="MSF181" s="23"/>
      <c r="MSG181" s="23"/>
      <c r="MSH181" s="23"/>
      <c r="MSI181" s="23"/>
      <c r="MSJ181" s="23"/>
      <c r="MSK181" s="23"/>
      <c r="MSL181" s="23"/>
      <c r="MSM181" s="23"/>
      <c r="MSN181" s="23"/>
      <c r="MSO181" s="23"/>
      <c r="MSP181" s="23"/>
      <c r="MSQ181" s="23"/>
      <c r="MSR181" s="23"/>
      <c r="MSS181" s="23"/>
      <c r="MST181" s="23"/>
      <c r="MSU181" s="23"/>
      <c r="MSV181" s="23"/>
      <c r="MSW181" s="23"/>
      <c r="MSX181" s="23"/>
      <c r="MSY181" s="23"/>
      <c r="MSZ181" s="23"/>
      <c r="MTA181" s="23"/>
      <c r="MTB181" s="23"/>
      <c r="MTC181" s="23"/>
      <c r="MTD181" s="23"/>
      <c r="MTE181" s="23"/>
      <c r="MTF181" s="23"/>
      <c r="MTG181" s="23"/>
      <c r="MTH181" s="23"/>
      <c r="MTI181" s="23"/>
      <c r="MTJ181" s="23"/>
      <c r="MTK181" s="23"/>
      <c r="MTL181" s="23"/>
      <c r="MTM181" s="23"/>
      <c r="MTN181" s="23"/>
      <c r="MTO181" s="23"/>
      <c r="MTP181" s="23"/>
      <c r="MTQ181" s="23"/>
      <c r="MTR181" s="23"/>
      <c r="MTS181" s="23"/>
      <c r="MTT181" s="23"/>
      <c r="MTU181" s="23"/>
      <c r="MTV181" s="23"/>
      <c r="MTW181" s="23"/>
      <c r="MTX181" s="23"/>
      <c r="MTY181" s="23"/>
      <c r="MTZ181" s="23"/>
      <c r="MUA181" s="23"/>
      <c r="MUB181" s="23"/>
      <c r="MUC181" s="23"/>
      <c r="MUD181" s="23"/>
      <c r="MUE181" s="23"/>
      <c r="MUF181" s="23"/>
      <c r="MUG181" s="23"/>
      <c r="MUH181" s="23"/>
      <c r="MUI181" s="23"/>
      <c r="MUJ181" s="23"/>
      <c r="MUK181" s="23"/>
      <c r="MUL181" s="23"/>
      <c r="MUM181" s="23"/>
      <c r="MUN181" s="23"/>
      <c r="MUO181" s="23"/>
      <c r="MUP181" s="23"/>
      <c r="MUQ181" s="23"/>
      <c r="MUR181" s="23"/>
      <c r="MUS181" s="23"/>
      <c r="MUT181" s="23"/>
      <c r="MUU181" s="23"/>
      <c r="MUV181" s="23"/>
      <c r="MUW181" s="23"/>
      <c r="MUX181" s="23"/>
      <c r="MUY181" s="23"/>
      <c r="MUZ181" s="23"/>
      <c r="MVA181" s="23"/>
      <c r="MVB181" s="23"/>
      <c r="MVC181" s="23"/>
      <c r="MVD181" s="23"/>
      <c r="MVE181" s="23"/>
      <c r="MVF181" s="23"/>
      <c r="MVG181" s="23"/>
      <c r="MVH181" s="23"/>
      <c r="MVI181" s="23"/>
      <c r="MVJ181" s="23"/>
      <c r="MVK181" s="23"/>
      <c r="MVL181" s="23"/>
      <c r="MVM181" s="23"/>
      <c r="MVN181" s="23"/>
      <c r="MVO181" s="23"/>
      <c r="MVP181" s="23"/>
      <c r="MVQ181" s="23"/>
      <c r="MVR181" s="23"/>
      <c r="MVS181" s="23"/>
      <c r="MVT181" s="23"/>
      <c r="MVU181" s="23"/>
      <c r="MVV181" s="23"/>
      <c r="MVW181" s="23"/>
      <c r="MVX181" s="23"/>
      <c r="MVY181" s="23"/>
      <c r="MVZ181" s="23"/>
      <c r="MWA181" s="23"/>
      <c r="MWB181" s="23"/>
      <c r="MWC181" s="23"/>
      <c r="MWD181" s="23"/>
      <c r="MWE181" s="23"/>
      <c r="MWF181" s="23"/>
      <c r="MWG181" s="23"/>
      <c r="MWH181" s="23"/>
      <c r="MWI181" s="23"/>
      <c r="MWJ181" s="23"/>
      <c r="MWK181" s="23"/>
      <c r="MWL181" s="23"/>
      <c r="MWM181" s="23"/>
      <c r="MWN181" s="23"/>
      <c r="MWO181" s="23"/>
      <c r="MWP181" s="23"/>
      <c r="MWQ181" s="23"/>
      <c r="MWR181" s="23"/>
      <c r="MWS181" s="23"/>
      <c r="MWT181" s="23"/>
      <c r="MWU181" s="23"/>
      <c r="MWV181" s="23"/>
      <c r="MWW181" s="23"/>
      <c r="MWX181" s="23"/>
      <c r="MWY181" s="23"/>
      <c r="MWZ181" s="23"/>
      <c r="MXA181" s="23"/>
      <c r="MXB181" s="23"/>
      <c r="MXC181" s="23"/>
      <c r="MXD181" s="23"/>
      <c r="MXE181" s="23"/>
      <c r="MXF181" s="23"/>
      <c r="MXG181" s="23"/>
      <c r="MXH181" s="23"/>
      <c r="MXI181" s="23"/>
      <c r="MXJ181" s="23"/>
      <c r="MXK181" s="23"/>
      <c r="MXL181" s="23"/>
      <c r="MXM181" s="23"/>
      <c r="MXN181" s="23"/>
      <c r="MXO181" s="23"/>
      <c r="MXP181" s="23"/>
      <c r="MXQ181" s="23"/>
      <c r="MXR181" s="23"/>
      <c r="MXS181" s="23"/>
      <c r="MXT181" s="23"/>
      <c r="MXU181" s="23"/>
      <c r="MXV181" s="23"/>
      <c r="MXW181" s="23"/>
      <c r="MXX181" s="23"/>
      <c r="MXY181" s="23"/>
      <c r="MXZ181" s="23"/>
      <c r="MYA181" s="23"/>
      <c r="MYB181" s="23"/>
      <c r="MYC181" s="23"/>
      <c r="MYD181" s="23"/>
      <c r="MYE181" s="23"/>
      <c r="MYF181" s="23"/>
      <c r="MYG181" s="23"/>
      <c r="MYH181" s="23"/>
      <c r="MYI181" s="23"/>
      <c r="MYJ181" s="23"/>
      <c r="MYK181" s="23"/>
      <c r="MYL181" s="23"/>
      <c r="MYM181" s="23"/>
      <c r="MYN181" s="23"/>
      <c r="MYO181" s="23"/>
      <c r="MYP181" s="23"/>
      <c r="MYQ181" s="23"/>
      <c r="MYR181" s="23"/>
      <c r="MYS181" s="23"/>
      <c r="MYT181" s="23"/>
      <c r="MYU181" s="23"/>
      <c r="MYV181" s="23"/>
      <c r="MYW181" s="23"/>
      <c r="MYX181" s="23"/>
      <c r="MYY181" s="23"/>
      <c r="MYZ181" s="23"/>
      <c r="MZA181" s="23"/>
      <c r="MZB181" s="23"/>
      <c r="MZC181" s="23"/>
      <c r="MZD181" s="23"/>
      <c r="MZE181" s="23"/>
      <c r="MZF181" s="23"/>
      <c r="MZG181" s="23"/>
      <c r="MZH181" s="23"/>
      <c r="MZI181" s="23"/>
      <c r="MZJ181" s="23"/>
      <c r="MZK181" s="23"/>
      <c r="MZL181" s="23"/>
      <c r="MZM181" s="23"/>
      <c r="MZN181" s="23"/>
      <c r="MZO181" s="23"/>
      <c r="MZP181" s="23"/>
      <c r="MZQ181" s="23"/>
      <c r="MZR181" s="23"/>
      <c r="MZS181" s="23"/>
      <c r="MZT181" s="23"/>
      <c r="MZU181" s="23"/>
      <c r="MZV181" s="23"/>
      <c r="MZW181" s="23"/>
      <c r="MZX181" s="23"/>
      <c r="MZY181" s="23"/>
      <c r="MZZ181" s="23"/>
      <c r="NAA181" s="23"/>
      <c r="NAB181" s="23"/>
      <c r="NAC181" s="23"/>
      <c r="NAD181" s="23"/>
      <c r="NAE181" s="23"/>
      <c r="NAF181" s="23"/>
      <c r="NAG181" s="23"/>
      <c r="NAH181" s="23"/>
      <c r="NAI181" s="23"/>
      <c r="NAJ181" s="23"/>
      <c r="NAK181" s="23"/>
      <c r="NAL181" s="23"/>
      <c r="NAM181" s="23"/>
      <c r="NAN181" s="23"/>
      <c r="NAO181" s="23"/>
      <c r="NAP181" s="23"/>
      <c r="NAQ181" s="23"/>
      <c r="NAR181" s="23"/>
      <c r="NAS181" s="23"/>
      <c r="NAT181" s="23"/>
      <c r="NAU181" s="23"/>
      <c r="NAV181" s="23"/>
      <c r="NAW181" s="23"/>
      <c r="NAX181" s="23"/>
      <c r="NAY181" s="23"/>
      <c r="NAZ181" s="23"/>
      <c r="NBA181" s="23"/>
      <c r="NBB181" s="23"/>
      <c r="NBC181" s="23"/>
      <c r="NBD181" s="23"/>
      <c r="NBE181" s="23"/>
      <c r="NBF181" s="23"/>
      <c r="NBG181" s="23"/>
      <c r="NBH181" s="23"/>
      <c r="NBI181" s="23"/>
      <c r="NBJ181" s="23"/>
      <c r="NBK181" s="23"/>
      <c r="NBL181" s="23"/>
      <c r="NBM181" s="23"/>
      <c r="NBN181" s="23"/>
      <c r="NBO181" s="23"/>
      <c r="NBP181" s="23"/>
      <c r="NBQ181" s="23"/>
      <c r="NBR181" s="23"/>
      <c r="NBS181" s="23"/>
      <c r="NBT181" s="23"/>
      <c r="NBU181" s="23"/>
      <c r="NBV181" s="23"/>
      <c r="NBW181" s="23"/>
      <c r="NBX181" s="23"/>
      <c r="NBY181" s="23"/>
      <c r="NBZ181" s="23"/>
      <c r="NCA181" s="23"/>
      <c r="NCB181" s="23"/>
      <c r="NCC181" s="23"/>
      <c r="NCD181" s="23"/>
      <c r="NCE181" s="23"/>
      <c r="NCF181" s="23"/>
      <c r="NCG181" s="23"/>
      <c r="NCH181" s="23"/>
      <c r="NCI181" s="23"/>
      <c r="NCJ181" s="23"/>
      <c r="NCK181" s="23"/>
      <c r="NCL181" s="23"/>
      <c r="NCM181" s="23"/>
      <c r="NCN181" s="23"/>
      <c r="NCO181" s="23"/>
      <c r="NCP181" s="23"/>
      <c r="NCQ181" s="23"/>
      <c r="NCR181" s="23"/>
      <c r="NCS181" s="23"/>
      <c r="NCT181" s="23"/>
      <c r="NCU181" s="23"/>
      <c r="NCV181" s="23"/>
      <c r="NCW181" s="23"/>
      <c r="NCX181" s="23"/>
      <c r="NCY181" s="23"/>
      <c r="NCZ181" s="23"/>
      <c r="NDA181" s="23"/>
      <c r="NDB181" s="23"/>
      <c r="NDC181" s="23"/>
      <c r="NDD181" s="23"/>
      <c r="NDE181" s="23"/>
      <c r="NDF181" s="23"/>
      <c r="NDG181" s="23"/>
      <c r="NDH181" s="23"/>
      <c r="NDI181" s="23"/>
      <c r="NDJ181" s="23"/>
      <c r="NDK181" s="23"/>
      <c r="NDL181" s="23"/>
      <c r="NDM181" s="23"/>
      <c r="NDN181" s="23"/>
      <c r="NDO181" s="23"/>
      <c r="NDP181" s="23"/>
      <c r="NDQ181" s="23"/>
      <c r="NDR181" s="23"/>
      <c r="NDS181" s="23"/>
      <c r="NDT181" s="23"/>
      <c r="NDU181" s="23"/>
      <c r="NDV181" s="23"/>
      <c r="NDW181" s="23"/>
      <c r="NDX181" s="23"/>
      <c r="NDY181" s="23"/>
      <c r="NDZ181" s="23"/>
      <c r="NEA181" s="23"/>
      <c r="NEB181" s="23"/>
      <c r="NEC181" s="23"/>
      <c r="NED181" s="23"/>
      <c r="NEE181" s="23"/>
      <c r="NEF181" s="23"/>
      <c r="NEG181" s="23"/>
      <c r="NEH181" s="23"/>
      <c r="NEI181" s="23"/>
      <c r="NEJ181" s="23"/>
      <c r="NEK181" s="23"/>
      <c r="NEL181" s="23"/>
      <c r="NEM181" s="23"/>
      <c r="NEN181" s="23"/>
      <c r="NEO181" s="23"/>
      <c r="NEP181" s="23"/>
      <c r="NEQ181" s="23"/>
      <c r="NER181" s="23"/>
      <c r="NES181" s="23"/>
      <c r="NET181" s="23"/>
      <c r="NEU181" s="23"/>
      <c r="NEV181" s="23"/>
      <c r="NEW181" s="23"/>
      <c r="NEX181" s="23"/>
      <c r="NEY181" s="23"/>
      <c r="NEZ181" s="23"/>
      <c r="NFA181" s="23"/>
      <c r="NFB181" s="23"/>
      <c r="NFC181" s="23"/>
      <c r="NFD181" s="23"/>
      <c r="NFE181" s="23"/>
      <c r="NFF181" s="23"/>
      <c r="NFG181" s="23"/>
      <c r="NFH181" s="23"/>
      <c r="NFI181" s="23"/>
      <c r="NFJ181" s="23"/>
      <c r="NFK181" s="23"/>
      <c r="NFL181" s="23"/>
      <c r="NFM181" s="23"/>
      <c r="NFN181" s="23"/>
      <c r="NFO181" s="23"/>
      <c r="NFP181" s="23"/>
      <c r="NFQ181" s="23"/>
      <c r="NFR181" s="23"/>
      <c r="NFS181" s="23"/>
      <c r="NFT181" s="23"/>
      <c r="NFU181" s="23"/>
      <c r="NFV181" s="23"/>
      <c r="NFW181" s="23"/>
      <c r="NFX181" s="23"/>
      <c r="NFY181" s="23"/>
      <c r="NFZ181" s="23"/>
      <c r="NGA181" s="23"/>
      <c r="NGB181" s="23"/>
      <c r="NGC181" s="23"/>
      <c r="NGD181" s="23"/>
      <c r="NGE181" s="23"/>
      <c r="NGF181" s="23"/>
      <c r="NGG181" s="23"/>
      <c r="NGH181" s="23"/>
      <c r="NGI181" s="23"/>
      <c r="NGJ181" s="23"/>
      <c r="NGK181" s="23"/>
      <c r="NGL181" s="23"/>
      <c r="NGM181" s="23"/>
      <c r="NGN181" s="23"/>
      <c r="NGO181" s="23"/>
      <c r="NGP181" s="23"/>
      <c r="NGQ181" s="23"/>
      <c r="NGR181" s="23"/>
      <c r="NGS181" s="23"/>
      <c r="NGT181" s="23"/>
      <c r="NGU181" s="23"/>
      <c r="NGV181" s="23"/>
      <c r="NGW181" s="23"/>
      <c r="NGX181" s="23"/>
      <c r="NGY181" s="23"/>
      <c r="NGZ181" s="23"/>
      <c r="NHA181" s="23"/>
      <c r="NHB181" s="23"/>
      <c r="NHC181" s="23"/>
      <c r="NHD181" s="23"/>
      <c r="NHE181" s="23"/>
      <c r="NHF181" s="23"/>
      <c r="NHG181" s="23"/>
      <c r="NHH181" s="23"/>
      <c r="NHI181" s="23"/>
      <c r="NHJ181" s="23"/>
      <c r="NHK181" s="23"/>
      <c r="NHL181" s="23"/>
      <c r="NHM181" s="23"/>
      <c r="NHN181" s="23"/>
      <c r="NHO181" s="23"/>
      <c r="NHP181" s="23"/>
      <c r="NHQ181" s="23"/>
      <c r="NHR181" s="23"/>
      <c r="NHS181" s="23"/>
      <c r="NHT181" s="23"/>
      <c r="NHU181" s="23"/>
      <c r="NHV181" s="23"/>
      <c r="NHW181" s="23"/>
      <c r="NHX181" s="23"/>
      <c r="NHY181" s="23"/>
      <c r="NHZ181" s="23"/>
      <c r="NIA181" s="23"/>
      <c r="NIB181" s="23"/>
      <c r="NIC181" s="23"/>
      <c r="NID181" s="23"/>
      <c r="NIE181" s="23"/>
      <c r="NIF181" s="23"/>
      <c r="NIG181" s="23"/>
      <c r="NIH181" s="23"/>
      <c r="NII181" s="23"/>
      <c r="NIJ181" s="23"/>
      <c r="NIK181" s="23"/>
      <c r="NIL181" s="23"/>
      <c r="NIM181" s="23"/>
      <c r="NIN181" s="23"/>
      <c r="NIO181" s="23"/>
      <c r="NIP181" s="23"/>
      <c r="NIQ181" s="23"/>
      <c r="NIR181" s="23"/>
      <c r="NIS181" s="23"/>
      <c r="NIT181" s="23"/>
      <c r="NIU181" s="23"/>
      <c r="NIV181" s="23"/>
      <c r="NIW181" s="23"/>
      <c r="NIX181" s="23"/>
      <c r="NIY181" s="23"/>
      <c r="NIZ181" s="23"/>
      <c r="NJA181" s="23"/>
      <c r="NJB181" s="23"/>
      <c r="NJC181" s="23"/>
      <c r="NJD181" s="23"/>
      <c r="NJE181" s="23"/>
      <c r="NJF181" s="23"/>
      <c r="NJG181" s="23"/>
      <c r="NJH181" s="23"/>
      <c r="NJI181" s="23"/>
      <c r="NJJ181" s="23"/>
      <c r="NJK181" s="23"/>
      <c r="NJL181" s="23"/>
      <c r="NJM181" s="23"/>
      <c r="NJN181" s="23"/>
      <c r="NJO181" s="23"/>
      <c r="NJP181" s="23"/>
      <c r="NJQ181" s="23"/>
      <c r="NJR181" s="23"/>
      <c r="NJS181" s="23"/>
      <c r="NJT181" s="23"/>
      <c r="NJU181" s="23"/>
      <c r="NJV181" s="23"/>
      <c r="NJW181" s="23"/>
      <c r="NJX181" s="23"/>
      <c r="NJY181" s="23"/>
      <c r="NJZ181" s="23"/>
      <c r="NKA181" s="23"/>
      <c r="NKB181" s="23"/>
      <c r="NKC181" s="23"/>
      <c r="NKD181" s="23"/>
      <c r="NKE181" s="23"/>
      <c r="NKF181" s="23"/>
      <c r="NKG181" s="23"/>
      <c r="NKH181" s="23"/>
      <c r="NKI181" s="23"/>
      <c r="NKJ181" s="23"/>
      <c r="NKK181" s="23"/>
      <c r="NKL181" s="23"/>
      <c r="NKM181" s="23"/>
      <c r="NKN181" s="23"/>
      <c r="NKO181" s="23"/>
      <c r="NKP181" s="23"/>
      <c r="NKQ181" s="23"/>
      <c r="NKR181" s="23"/>
      <c r="NKS181" s="23"/>
      <c r="NKT181" s="23"/>
      <c r="NKU181" s="23"/>
      <c r="NKV181" s="23"/>
      <c r="NKW181" s="23"/>
      <c r="NKX181" s="23"/>
      <c r="NKY181" s="23"/>
      <c r="NKZ181" s="23"/>
      <c r="NLA181" s="23"/>
      <c r="NLB181" s="23"/>
      <c r="NLC181" s="23"/>
      <c r="NLD181" s="23"/>
      <c r="NLE181" s="23"/>
      <c r="NLF181" s="23"/>
      <c r="NLG181" s="23"/>
      <c r="NLH181" s="23"/>
      <c r="NLI181" s="23"/>
      <c r="NLJ181" s="23"/>
      <c r="NLK181" s="23"/>
      <c r="NLL181" s="23"/>
      <c r="NLM181" s="23"/>
      <c r="NLN181" s="23"/>
      <c r="NLO181" s="23"/>
      <c r="NLP181" s="23"/>
      <c r="NLQ181" s="23"/>
      <c r="NLR181" s="23"/>
      <c r="NLS181" s="23"/>
      <c r="NLT181" s="23"/>
      <c r="NLU181" s="23"/>
      <c r="NLV181" s="23"/>
      <c r="NLW181" s="23"/>
      <c r="NLX181" s="23"/>
      <c r="NLY181" s="23"/>
      <c r="NLZ181" s="23"/>
      <c r="NMA181" s="23"/>
      <c r="NMB181" s="23"/>
      <c r="NMC181" s="23"/>
      <c r="NMD181" s="23"/>
      <c r="NME181" s="23"/>
      <c r="NMF181" s="23"/>
      <c r="NMG181" s="23"/>
      <c r="NMH181" s="23"/>
      <c r="NMI181" s="23"/>
      <c r="NMJ181" s="23"/>
      <c r="NMK181" s="23"/>
      <c r="NML181" s="23"/>
      <c r="NMM181" s="23"/>
      <c r="NMN181" s="23"/>
      <c r="NMO181" s="23"/>
      <c r="NMP181" s="23"/>
      <c r="NMQ181" s="23"/>
      <c r="NMR181" s="23"/>
      <c r="NMS181" s="23"/>
      <c r="NMT181" s="23"/>
      <c r="NMU181" s="23"/>
      <c r="NMV181" s="23"/>
      <c r="NMW181" s="23"/>
      <c r="NMX181" s="23"/>
      <c r="NMY181" s="23"/>
      <c r="NMZ181" s="23"/>
      <c r="NNA181" s="23"/>
      <c r="NNB181" s="23"/>
      <c r="NNC181" s="23"/>
      <c r="NND181" s="23"/>
      <c r="NNE181" s="23"/>
      <c r="NNF181" s="23"/>
      <c r="NNG181" s="23"/>
      <c r="NNH181" s="23"/>
      <c r="NNI181" s="23"/>
      <c r="NNJ181" s="23"/>
      <c r="NNK181" s="23"/>
      <c r="NNL181" s="23"/>
      <c r="NNM181" s="23"/>
      <c r="NNN181" s="23"/>
      <c r="NNO181" s="23"/>
      <c r="NNP181" s="23"/>
      <c r="NNQ181" s="23"/>
      <c r="NNR181" s="23"/>
      <c r="NNS181" s="23"/>
      <c r="NNT181" s="23"/>
      <c r="NNU181" s="23"/>
      <c r="NNV181" s="23"/>
      <c r="NNW181" s="23"/>
      <c r="NNX181" s="23"/>
      <c r="NNY181" s="23"/>
      <c r="NNZ181" s="23"/>
      <c r="NOA181" s="23"/>
      <c r="NOB181" s="23"/>
      <c r="NOC181" s="23"/>
      <c r="NOD181" s="23"/>
      <c r="NOE181" s="23"/>
      <c r="NOF181" s="23"/>
      <c r="NOG181" s="23"/>
      <c r="NOH181" s="23"/>
      <c r="NOI181" s="23"/>
      <c r="NOJ181" s="23"/>
      <c r="NOK181" s="23"/>
      <c r="NOL181" s="23"/>
      <c r="NOM181" s="23"/>
      <c r="NON181" s="23"/>
      <c r="NOO181" s="23"/>
      <c r="NOP181" s="23"/>
      <c r="NOQ181" s="23"/>
      <c r="NOR181" s="23"/>
      <c r="NOS181" s="23"/>
      <c r="NOT181" s="23"/>
      <c r="NOU181" s="23"/>
      <c r="NOV181" s="23"/>
      <c r="NOW181" s="23"/>
      <c r="NOX181" s="23"/>
      <c r="NOY181" s="23"/>
      <c r="NOZ181" s="23"/>
      <c r="NPA181" s="23"/>
      <c r="NPB181" s="23"/>
      <c r="NPC181" s="23"/>
      <c r="NPD181" s="23"/>
      <c r="NPE181" s="23"/>
      <c r="NPF181" s="23"/>
      <c r="NPG181" s="23"/>
      <c r="NPH181" s="23"/>
      <c r="NPI181" s="23"/>
      <c r="NPJ181" s="23"/>
      <c r="NPK181" s="23"/>
      <c r="NPL181" s="23"/>
      <c r="NPM181" s="23"/>
      <c r="NPN181" s="23"/>
      <c r="NPO181" s="23"/>
      <c r="NPP181" s="23"/>
      <c r="NPQ181" s="23"/>
      <c r="NPR181" s="23"/>
      <c r="NPS181" s="23"/>
      <c r="NPT181" s="23"/>
      <c r="NPU181" s="23"/>
      <c r="NPV181" s="23"/>
      <c r="NPW181" s="23"/>
      <c r="NPX181" s="23"/>
      <c r="NPY181" s="23"/>
      <c r="NPZ181" s="23"/>
      <c r="NQA181" s="23"/>
      <c r="NQB181" s="23"/>
      <c r="NQC181" s="23"/>
      <c r="NQD181" s="23"/>
      <c r="NQE181" s="23"/>
      <c r="NQF181" s="23"/>
      <c r="NQG181" s="23"/>
      <c r="NQH181" s="23"/>
      <c r="NQI181" s="23"/>
      <c r="NQJ181" s="23"/>
      <c r="NQK181" s="23"/>
      <c r="NQL181" s="23"/>
      <c r="NQM181" s="23"/>
      <c r="NQN181" s="23"/>
      <c r="NQO181" s="23"/>
      <c r="NQP181" s="23"/>
      <c r="NQQ181" s="23"/>
      <c r="NQR181" s="23"/>
      <c r="NQS181" s="23"/>
      <c r="NQT181" s="23"/>
      <c r="NQU181" s="23"/>
      <c r="NQV181" s="23"/>
      <c r="NQW181" s="23"/>
      <c r="NQX181" s="23"/>
      <c r="NQY181" s="23"/>
      <c r="NQZ181" s="23"/>
      <c r="NRA181" s="23"/>
      <c r="NRB181" s="23"/>
      <c r="NRC181" s="23"/>
      <c r="NRD181" s="23"/>
      <c r="NRE181" s="23"/>
      <c r="NRF181" s="23"/>
      <c r="NRG181" s="23"/>
      <c r="NRH181" s="23"/>
      <c r="NRI181" s="23"/>
      <c r="NRJ181" s="23"/>
      <c r="NRK181" s="23"/>
      <c r="NRL181" s="23"/>
      <c r="NRM181" s="23"/>
      <c r="NRN181" s="23"/>
      <c r="NRO181" s="23"/>
      <c r="NRP181" s="23"/>
      <c r="NRQ181" s="23"/>
      <c r="NRR181" s="23"/>
      <c r="NRS181" s="23"/>
      <c r="NRT181" s="23"/>
      <c r="NRU181" s="23"/>
      <c r="NRV181" s="23"/>
      <c r="NRW181" s="23"/>
      <c r="NRX181" s="23"/>
      <c r="NRY181" s="23"/>
      <c r="NRZ181" s="23"/>
      <c r="NSA181" s="23"/>
      <c r="NSB181" s="23"/>
      <c r="NSC181" s="23"/>
      <c r="NSD181" s="23"/>
      <c r="NSE181" s="23"/>
      <c r="NSF181" s="23"/>
      <c r="NSG181" s="23"/>
      <c r="NSH181" s="23"/>
      <c r="NSI181" s="23"/>
      <c r="NSJ181" s="23"/>
      <c r="NSK181" s="23"/>
      <c r="NSL181" s="23"/>
      <c r="NSM181" s="23"/>
      <c r="NSN181" s="23"/>
      <c r="NSO181" s="23"/>
      <c r="NSP181" s="23"/>
      <c r="NSQ181" s="23"/>
      <c r="NSR181" s="23"/>
      <c r="NSS181" s="23"/>
      <c r="NST181" s="23"/>
      <c r="NSU181" s="23"/>
      <c r="NSV181" s="23"/>
      <c r="NSW181" s="23"/>
      <c r="NSX181" s="23"/>
      <c r="NSY181" s="23"/>
      <c r="NSZ181" s="23"/>
      <c r="NTA181" s="23"/>
      <c r="NTB181" s="23"/>
      <c r="NTC181" s="23"/>
      <c r="NTD181" s="23"/>
      <c r="NTE181" s="23"/>
      <c r="NTF181" s="23"/>
      <c r="NTG181" s="23"/>
      <c r="NTH181" s="23"/>
      <c r="NTI181" s="23"/>
      <c r="NTJ181" s="23"/>
      <c r="NTK181" s="23"/>
      <c r="NTL181" s="23"/>
      <c r="NTM181" s="23"/>
      <c r="NTN181" s="23"/>
      <c r="NTO181" s="23"/>
      <c r="NTP181" s="23"/>
      <c r="NTQ181" s="23"/>
      <c r="NTR181" s="23"/>
      <c r="NTS181" s="23"/>
      <c r="NTT181" s="23"/>
      <c r="NTU181" s="23"/>
      <c r="NTV181" s="23"/>
      <c r="NTW181" s="23"/>
      <c r="NTX181" s="23"/>
      <c r="NTY181" s="23"/>
      <c r="NTZ181" s="23"/>
      <c r="NUA181" s="23"/>
      <c r="NUB181" s="23"/>
      <c r="NUC181" s="23"/>
      <c r="NUD181" s="23"/>
      <c r="NUE181" s="23"/>
      <c r="NUF181" s="23"/>
      <c r="NUG181" s="23"/>
      <c r="NUH181" s="23"/>
      <c r="NUI181" s="23"/>
      <c r="NUJ181" s="23"/>
      <c r="NUK181" s="23"/>
      <c r="NUL181" s="23"/>
      <c r="NUM181" s="23"/>
      <c r="NUN181" s="23"/>
      <c r="NUO181" s="23"/>
      <c r="NUP181" s="23"/>
      <c r="NUQ181" s="23"/>
      <c r="NUR181" s="23"/>
      <c r="NUS181" s="23"/>
      <c r="NUT181" s="23"/>
      <c r="NUU181" s="23"/>
      <c r="NUV181" s="23"/>
      <c r="NUW181" s="23"/>
      <c r="NUX181" s="23"/>
      <c r="NUY181" s="23"/>
      <c r="NUZ181" s="23"/>
      <c r="NVA181" s="23"/>
      <c r="NVB181" s="23"/>
      <c r="NVC181" s="23"/>
      <c r="NVD181" s="23"/>
      <c r="NVE181" s="23"/>
      <c r="NVF181" s="23"/>
      <c r="NVG181" s="23"/>
      <c r="NVH181" s="23"/>
      <c r="NVI181" s="23"/>
      <c r="NVJ181" s="23"/>
      <c r="NVK181" s="23"/>
      <c r="NVL181" s="23"/>
      <c r="NVM181" s="23"/>
      <c r="NVN181" s="23"/>
      <c r="NVO181" s="23"/>
      <c r="NVP181" s="23"/>
      <c r="NVQ181" s="23"/>
      <c r="NVR181" s="23"/>
      <c r="NVS181" s="23"/>
      <c r="NVT181" s="23"/>
      <c r="NVU181" s="23"/>
      <c r="NVV181" s="23"/>
      <c r="NVW181" s="23"/>
      <c r="NVX181" s="23"/>
      <c r="NVY181" s="23"/>
      <c r="NVZ181" s="23"/>
      <c r="NWA181" s="23"/>
      <c r="NWB181" s="23"/>
      <c r="NWC181" s="23"/>
      <c r="NWD181" s="23"/>
      <c r="NWE181" s="23"/>
      <c r="NWF181" s="23"/>
      <c r="NWG181" s="23"/>
      <c r="NWH181" s="23"/>
      <c r="NWI181" s="23"/>
      <c r="NWJ181" s="23"/>
      <c r="NWK181" s="23"/>
      <c r="NWL181" s="23"/>
      <c r="NWM181" s="23"/>
      <c r="NWN181" s="23"/>
      <c r="NWO181" s="23"/>
      <c r="NWP181" s="23"/>
      <c r="NWQ181" s="23"/>
      <c r="NWR181" s="23"/>
      <c r="NWS181" s="23"/>
      <c r="NWT181" s="23"/>
      <c r="NWU181" s="23"/>
      <c r="NWV181" s="23"/>
      <c r="NWW181" s="23"/>
      <c r="NWX181" s="23"/>
      <c r="NWY181" s="23"/>
      <c r="NWZ181" s="23"/>
      <c r="NXA181" s="23"/>
      <c r="NXB181" s="23"/>
      <c r="NXC181" s="23"/>
      <c r="NXD181" s="23"/>
      <c r="NXE181" s="23"/>
      <c r="NXF181" s="23"/>
      <c r="NXG181" s="23"/>
      <c r="NXH181" s="23"/>
      <c r="NXI181" s="23"/>
      <c r="NXJ181" s="23"/>
      <c r="NXK181" s="23"/>
      <c r="NXL181" s="23"/>
      <c r="NXM181" s="23"/>
      <c r="NXN181" s="23"/>
      <c r="NXO181" s="23"/>
      <c r="NXP181" s="23"/>
      <c r="NXQ181" s="23"/>
      <c r="NXR181" s="23"/>
      <c r="NXS181" s="23"/>
      <c r="NXT181" s="23"/>
      <c r="NXU181" s="23"/>
      <c r="NXV181" s="23"/>
      <c r="NXW181" s="23"/>
      <c r="NXX181" s="23"/>
      <c r="NXY181" s="23"/>
      <c r="NXZ181" s="23"/>
      <c r="NYA181" s="23"/>
      <c r="NYB181" s="23"/>
      <c r="NYC181" s="23"/>
      <c r="NYD181" s="23"/>
      <c r="NYE181" s="23"/>
      <c r="NYF181" s="23"/>
      <c r="NYG181" s="23"/>
      <c r="NYH181" s="23"/>
      <c r="NYI181" s="23"/>
      <c r="NYJ181" s="23"/>
      <c r="NYK181" s="23"/>
      <c r="NYL181" s="23"/>
      <c r="NYM181" s="23"/>
      <c r="NYN181" s="23"/>
      <c r="NYO181" s="23"/>
      <c r="NYP181" s="23"/>
      <c r="NYQ181" s="23"/>
      <c r="NYR181" s="23"/>
      <c r="NYS181" s="23"/>
      <c r="NYT181" s="23"/>
      <c r="NYU181" s="23"/>
      <c r="NYV181" s="23"/>
      <c r="NYW181" s="23"/>
      <c r="NYX181" s="23"/>
      <c r="NYY181" s="23"/>
      <c r="NYZ181" s="23"/>
      <c r="NZA181" s="23"/>
      <c r="NZB181" s="23"/>
      <c r="NZC181" s="23"/>
      <c r="NZD181" s="23"/>
      <c r="NZE181" s="23"/>
      <c r="NZF181" s="23"/>
      <c r="NZG181" s="23"/>
      <c r="NZH181" s="23"/>
      <c r="NZI181" s="23"/>
      <c r="NZJ181" s="23"/>
      <c r="NZK181" s="23"/>
      <c r="NZL181" s="23"/>
      <c r="NZM181" s="23"/>
      <c r="NZN181" s="23"/>
      <c r="NZO181" s="23"/>
      <c r="NZP181" s="23"/>
      <c r="NZQ181" s="23"/>
      <c r="NZR181" s="23"/>
      <c r="NZS181" s="23"/>
      <c r="NZT181" s="23"/>
      <c r="NZU181" s="23"/>
      <c r="NZV181" s="23"/>
      <c r="NZW181" s="23"/>
      <c r="NZX181" s="23"/>
      <c r="NZY181" s="23"/>
      <c r="NZZ181" s="23"/>
      <c r="OAA181" s="23"/>
      <c r="OAB181" s="23"/>
      <c r="OAC181" s="23"/>
      <c r="OAD181" s="23"/>
      <c r="OAE181" s="23"/>
      <c r="OAF181" s="23"/>
      <c r="OAG181" s="23"/>
      <c r="OAH181" s="23"/>
      <c r="OAI181" s="23"/>
      <c r="OAJ181" s="23"/>
      <c r="OAK181" s="23"/>
      <c r="OAL181" s="23"/>
      <c r="OAM181" s="23"/>
      <c r="OAN181" s="23"/>
      <c r="OAO181" s="23"/>
      <c r="OAP181" s="23"/>
      <c r="OAQ181" s="23"/>
      <c r="OAR181" s="23"/>
      <c r="OAS181" s="23"/>
      <c r="OAT181" s="23"/>
      <c r="OAU181" s="23"/>
      <c r="OAV181" s="23"/>
      <c r="OAW181" s="23"/>
      <c r="OAX181" s="23"/>
      <c r="OAY181" s="23"/>
      <c r="OAZ181" s="23"/>
      <c r="OBA181" s="23"/>
      <c r="OBB181" s="23"/>
      <c r="OBC181" s="23"/>
      <c r="OBD181" s="23"/>
      <c r="OBE181" s="23"/>
      <c r="OBF181" s="23"/>
      <c r="OBG181" s="23"/>
      <c r="OBH181" s="23"/>
      <c r="OBI181" s="23"/>
      <c r="OBJ181" s="23"/>
      <c r="OBK181" s="23"/>
      <c r="OBL181" s="23"/>
      <c r="OBM181" s="23"/>
      <c r="OBN181" s="23"/>
      <c r="OBO181" s="23"/>
      <c r="OBP181" s="23"/>
      <c r="OBQ181" s="23"/>
      <c r="OBR181" s="23"/>
      <c r="OBS181" s="23"/>
      <c r="OBT181" s="23"/>
      <c r="OBU181" s="23"/>
      <c r="OBV181" s="23"/>
      <c r="OBW181" s="23"/>
      <c r="OBX181" s="23"/>
      <c r="OBY181" s="23"/>
      <c r="OBZ181" s="23"/>
      <c r="OCA181" s="23"/>
      <c r="OCB181" s="23"/>
      <c r="OCC181" s="23"/>
      <c r="OCD181" s="23"/>
      <c r="OCE181" s="23"/>
      <c r="OCF181" s="23"/>
      <c r="OCG181" s="23"/>
      <c r="OCH181" s="23"/>
      <c r="OCI181" s="23"/>
      <c r="OCJ181" s="23"/>
      <c r="OCK181" s="23"/>
      <c r="OCL181" s="23"/>
      <c r="OCM181" s="23"/>
      <c r="OCN181" s="23"/>
      <c r="OCO181" s="23"/>
      <c r="OCP181" s="23"/>
      <c r="OCQ181" s="23"/>
      <c r="OCR181" s="23"/>
      <c r="OCS181" s="23"/>
      <c r="OCT181" s="23"/>
      <c r="OCU181" s="23"/>
      <c r="OCV181" s="23"/>
      <c r="OCW181" s="23"/>
      <c r="OCX181" s="23"/>
      <c r="OCY181" s="23"/>
      <c r="OCZ181" s="23"/>
      <c r="ODA181" s="23"/>
      <c r="ODB181" s="23"/>
      <c r="ODC181" s="23"/>
      <c r="ODD181" s="23"/>
      <c r="ODE181" s="23"/>
      <c r="ODF181" s="23"/>
      <c r="ODG181" s="23"/>
      <c r="ODH181" s="23"/>
      <c r="ODI181" s="23"/>
      <c r="ODJ181" s="23"/>
      <c r="ODK181" s="23"/>
      <c r="ODL181" s="23"/>
      <c r="ODM181" s="23"/>
      <c r="ODN181" s="23"/>
      <c r="ODO181" s="23"/>
      <c r="ODP181" s="23"/>
      <c r="ODQ181" s="23"/>
      <c r="ODR181" s="23"/>
      <c r="ODS181" s="23"/>
      <c r="ODT181" s="23"/>
      <c r="ODU181" s="23"/>
      <c r="ODV181" s="23"/>
      <c r="ODW181" s="23"/>
      <c r="ODX181" s="23"/>
      <c r="ODY181" s="23"/>
      <c r="ODZ181" s="23"/>
      <c r="OEA181" s="23"/>
      <c r="OEB181" s="23"/>
      <c r="OEC181" s="23"/>
      <c r="OED181" s="23"/>
      <c r="OEE181" s="23"/>
      <c r="OEF181" s="23"/>
      <c r="OEG181" s="23"/>
      <c r="OEH181" s="23"/>
      <c r="OEI181" s="23"/>
      <c r="OEJ181" s="23"/>
      <c r="OEK181" s="23"/>
      <c r="OEL181" s="23"/>
      <c r="OEM181" s="23"/>
      <c r="OEN181" s="23"/>
      <c r="OEO181" s="23"/>
      <c r="OEP181" s="23"/>
      <c r="OEQ181" s="23"/>
      <c r="OER181" s="23"/>
      <c r="OES181" s="23"/>
      <c r="OET181" s="23"/>
      <c r="OEU181" s="23"/>
      <c r="OEV181" s="23"/>
      <c r="OEW181" s="23"/>
      <c r="OEX181" s="23"/>
      <c r="OEY181" s="23"/>
      <c r="OEZ181" s="23"/>
      <c r="OFA181" s="23"/>
      <c r="OFB181" s="23"/>
      <c r="OFC181" s="23"/>
      <c r="OFD181" s="23"/>
      <c r="OFE181" s="23"/>
      <c r="OFF181" s="23"/>
      <c r="OFG181" s="23"/>
      <c r="OFH181" s="23"/>
      <c r="OFI181" s="23"/>
      <c r="OFJ181" s="23"/>
      <c r="OFK181" s="23"/>
      <c r="OFL181" s="23"/>
      <c r="OFM181" s="23"/>
      <c r="OFN181" s="23"/>
      <c r="OFO181" s="23"/>
      <c r="OFP181" s="23"/>
      <c r="OFQ181" s="23"/>
      <c r="OFR181" s="23"/>
      <c r="OFS181" s="23"/>
      <c r="OFT181" s="23"/>
      <c r="OFU181" s="23"/>
      <c r="OFV181" s="23"/>
      <c r="OFW181" s="23"/>
      <c r="OFX181" s="23"/>
      <c r="OFY181" s="23"/>
      <c r="OFZ181" s="23"/>
      <c r="OGA181" s="23"/>
      <c r="OGB181" s="23"/>
      <c r="OGC181" s="23"/>
      <c r="OGD181" s="23"/>
      <c r="OGE181" s="23"/>
      <c r="OGF181" s="23"/>
      <c r="OGG181" s="23"/>
      <c r="OGH181" s="23"/>
      <c r="OGI181" s="23"/>
      <c r="OGJ181" s="23"/>
      <c r="OGK181" s="23"/>
      <c r="OGL181" s="23"/>
      <c r="OGM181" s="23"/>
      <c r="OGN181" s="23"/>
      <c r="OGO181" s="23"/>
      <c r="OGP181" s="23"/>
      <c r="OGQ181" s="23"/>
      <c r="OGR181" s="23"/>
      <c r="OGS181" s="23"/>
      <c r="OGT181" s="23"/>
      <c r="OGU181" s="23"/>
      <c r="OGV181" s="23"/>
      <c r="OGW181" s="23"/>
      <c r="OGX181" s="23"/>
      <c r="OGY181" s="23"/>
      <c r="OGZ181" s="23"/>
      <c r="OHA181" s="23"/>
      <c r="OHB181" s="23"/>
      <c r="OHC181" s="23"/>
      <c r="OHD181" s="23"/>
      <c r="OHE181" s="23"/>
      <c r="OHF181" s="23"/>
      <c r="OHG181" s="23"/>
      <c r="OHH181" s="23"/>
      <c r="OHI181" s="23"/>
      <c r="OHJ181" s="23"/>
      <c r="OHK181" s="23"/>
      <c r="OHL181" s="23"/>
      <c r="OHM181" s="23"/>
      <c r="OHN181" s="23"/>
      <c r="OHO181" s="23"/>
      <c r="OHP181" s="23"/>
      <c r="OHQ181" s="23"/>
      <c r="OHR181" s="23"/>
      <c r="OHS181" s="23"/>
      <c r="OHT181" s="23"/>
      <c r="OHU181" s="23"/>
      <c r="OHV181" s="23"/>
      <c r="OHW181" s="23"/>
      <c r="OHX181" s="23"/>
      <c r="OHY181" s="23"/>
      <c r="OHZ181" s="23"/>
      <c r="OIA181" s="23"/>
      <c r="OIB181" s="23"/>
      <c r="OIC181" s="23"/>
      <c r="OID181" s="23"/>
      <c r="OIE181" s="23"/>
      <c r="OIF181" s="23"/>
      <c r="OIG181" s="23"/>
      <c r="OIH181" s="23"/>
      <c r="OII181" s="23"/>
      <c r="OIJ181" s="23"/>
      <c r="OIK181" s="23"/>
      <c r="OIL181" s="23"/>
      <c r="OIM181" s="23"/>
      <c r="OIN181" s="23"/>
      <c r="OIO181" s="23"/>
      <c r="OIP181" s="23"/>
      <c r="OIQ181" s="23"/>
      <c r="OIR181" s="23"/>
      <c r="OIS181" s="23"/>
      <c r="OIT181" s="23"/>
      <c r="OIU181" s="23"/>
      <c r="OIV181" s="23"/>
      <c r="OIW181" s="23"/>
      <c r="OIX181" s="23"/>
      <c r="OIY181" s="23"/>
      <c r="OIZ181" s="23"/>
      <c r="OJA181" s="23"/>
      <c r="OJB181" s="23"/>
      <c r="OJC181" s="23"/>
      <c r="OJD181" s="23"/>
      <c r="OJE181" s="23"/>
      <c r="OJF181" s="23"/>
      <c r="OJG181" s="23"/>
      <c r="OJH181" s="23"/>
      <c r="OJI181" s="23"/>
      <c r="OJJ181" s="23"/>
      <c r="OJK181" s="23"/>
      <c r="OJL181" s="23"/>
      <c r="OJM181" s="23"/>
      <c r="OJN181" s="23"/>
      <c r="OJO181" s="23"/>
      <c r="OJP181" s="23"/>
      <c r="OJQ181" s="23"/>
      <c r="OJR181" s="23"/>
      <c r="OJS181" s="23"/>
      <c r="OJT181" s="23"/>
      <c r="OJU181" s="23"/>
      <c r="OJV181" s="23"/>
      <c r="OJW181" s="23"/>
      <c r="OJX181" s="23"/>
      <c r="OJY181" s="23"/>
      <c r="OJZ181" s="23"/>
      <c r="OKA181" s="23"/>
      <c r="OKB181" s="23"/>
      <c r="OKC181" s="23"/>
      <c r="OKD181" s="23"/>
      <c r="OKE181" s="23"/>
      <c r="OKF181" s="23"/>
      <c r="OKG181" s="23"/>
      <c r="OKH181" s="23"/>
      <c r="OKI181" s="23"/>
      <c r="OKJ181" s="23"/>
      <c r="OKK181" s="23"/>
      <c r="OKL181" s="23"/>
      <c r="OKM181" s="23"/>
      <c r="OKN181" s="23"/>
      <c r="OKO181" s="23"/>
      <c r="OKP181" s="23"/>
      <c r="OKQ181" s="23"/>
      <c r="OKR181" s="23"/>
      <c r="OKS181" s="23"/>
      <c r="OKT181" s="23"/>
      <c r="OKU181" s="23"/>
      <c r="OKV181" s="23"/>
      <c r="OKW181" s="23"/>
      <c r="OKX181" s="23"/>
      <c r="OKY181" s="23"/>
      <c r="OKZ181" s="23"/>
      <c r="OLA181" s="23"/>
      <c r="OLB181" s="23"/>
      <c r="OLC181" s="23"/>
      <c r="OLD181" s="23"/>
      <c r="OLE181" s="23"/>
      <c r="OLF181" s="23"/>
      <c r="OLG181" s="23"/>
      <c r="OLH181" s="23"/>
      <c r="OLI181" s="23"/>
      <c r="OLJ181" s="23"/>
      <c r="OLK181" s="23"/>
      <c r="OLL181" s="23"/>
      <c r="OLM181" s="23"/>
      <c r="OLN181" s="23"/>
      <c r="OLO181" s="23"/>
      <c r="OLP181" s="23"/>
      <c r="OLQ181" s="23"/>
      <c r="OLR181" s="23"/>
      <c r="OLS181" s="23"/>
      <c r="OLT181" s="23"/>
      <c r="OLU181" s="23"/>
      <c r="OLV181" s="23"/>
      <c r="OLW181" s="23"/>
      <c r="OLX181" s="23"/>
      <c r="OLY181" s="23"/>
      <c r="OLZ181" s="23"/>
      <c r="OMA181" s="23"/>
      <c r="OMB181" s="23"/>
      <c r="OMC181" s="23"/>
      <c r="OMD181" s="23"/>
      <c r="OME181" s="23"/>
      <c r="OMF181" s="23"/>
      <c r="OMG181" s="23"/>
      <c r="OMH181" s="23"/>
      <c r="OMI181" s="23"/>
      <c r="OMJ181" s="23"/>
      <c r="OMK181" s="23"/>
      <c r="OML181" s="23"/>
      <c r="OMM181" s="23"/>
      <c r="OMN181" s="23"/>
      <c r="OMO181" s="23"/>
      <c r="OMP181" s="23"/>
      <c r="OMQ181" s="23"/>
      <c r="OMR181" s="23"/>
      <c r="OMS181" s="23"/>
      <c r="OMT181" s="23"/>
      <c r="OMU181" s="23"/>
      <c r="OMV181" s="23"/>
      <c r="OMW181" s="23"/>
      <c r="OMX181" s="23"/>
      <c r="OMY181" s="23"/>
      <c r="OMZ181" s="23"/>
      <c r="ONA181" s="23"/>
      <c r="ONB181" s="23"/>
      <c r="ONC181" s="23"/>
      <c r="OND181" s="23"/>
      <c r="ONE181" s="23"/>
      <c r="ONF181" s="23"/>
      <c r="ONG181" s="23"/>
      <c r="ONH181" s="23"/>
      <c r="ONI181" s="23"/>
      <c r="ONJ181" s="23"/>
      <c r="ONK181" s="23"/>
      <c r="ONL181" s="23"/>
      <c r="ONM181" s="23"/>
      <c r="ONN181" s="23"/>
      <c r="ONO181" s="23"/>
      <c r="ONP181" s="23"/>
      <c r="ONQ181" s="23"/>
      <c r="ONR181" s="23"/>
      <c r="ONS181" s="23"/>
      <c r="ONT181" s="23"/>
      <c r="ONU181" s="23"/>
      <c r="ONV181" s="23"/>
      <c r="ONW181" s="23"/>
      <c r="ONX181" s="23"/>
      <c r="ONY181" s="23"/>
      <c r="ONZ181" s="23"/>
      <c r="OOA181" s="23"/>
      <c r="OOB181" s="23"/>
      <c r="OOC181" s="23"/>
      <c r="OOD181" s="23"/>
      <c r="OOE181" s="23"/>
      <c r="OOF181" s="23"/>
      <c r="OOG181" s="23"/>
      <c r="OOH181" s="23"/>
      <c r="OOI181" s="23"/>
      <c r="OOJ181" s="23"/>
      <c r="OOK181" s="23"/>
      <c r="OOL181" s="23"/>
      <c r="OOM181" s="23"/>
      <c r="OON181" s="23"/>
      <c r="OOO181" s="23"/>
      <c r="OOP181" s="23"/>
      <c r="OOQ181" s="23"/>
      <c r="OOR181" s="23"/>
      <c r="OOS181" s="23"/>
      <c r="OOT181" s="23"/>
      <c r="OOU181" s="23"/>
      <c r="OOV181" s="23"/>
      <c r="OOW181" s="23"/>
      <c r="OOX181" s="23"/>
      <c r="OOY181" s="23"/>
      <c r="OOZ181" s="23"/>
      <c r="OPA181" s="23"/>
      <c r="OPB181" s="23"/>
      <c r="OPC181" s="23"/>
      <c r="OPD181" s="23"/>
      <c r="OPE181" s="23"/>
      <c r="OPF181" s="23"/>
      <c r="OPG181" s="23"/>
      <c r="OPH181" s="23"/>
      <c r="OPI181" s="23"/>
      <c r="OPJ181" s="23"/>
      <c r="OPK181" s="23"/>
      <c r="OPL181" s="23"/>
      <c r="OPM181" s="23"/>
      <c r="OPN181" s="23"/>
      <c r="OPO181" s="23"/>
      <c r="OPP181" s="23"/>
      <c r="OPQ181" s="23"/>
      <c r="OPR181" s="23"/>
      <c r="OPS181" s="23"/>
      <c r="OPT181" s="23"/>
      <c r="OPU181" s="23"/>
      <c r="OPV181" s="23"/>
      <c r="OPW181" s="23"/>
      <c r="OPX181" s="23"/>
      <c r="OPY181" s="23"/>
      <c r="OPZ181" s="23"/>
      <c r="OQA181" s="23"/>
      <c r="OQB181" s="23"/>
      <c r="OQC181" s="23"/>
      <c r="OQD181" s="23"/>
      <c r="OQE181" s="23"/>
      <c r="OQF181" s="23"/>
      <c r="OQG181" s="23"/>
      <c r="OQH181" s="23"/>
      <c r="OQI181" s="23"/>
      <c r="OQJ181" s="23"/>
      <c r="OQK181" s="23"/>
      <c r="OQL181" s="23"/>
      <c r="OQM181" s="23"/>
      <c r="OQN181" s="23"/>
      <c r="OQO181" s="23"/>
      <c r="OQP181" s="23"/>
      <c r="OQQ181" s="23"/>
      <c r="OQR181" s="23"/>
      <c r="OQS181" s="23"/>
      <c r="OQT181" s="23"/>
      <c r="OQU181" s="23"/>
      <c r="OQV181" s="23"/>
      <c r="OQW181" s="23"/>
      <c r="OQX181" s="23"/>
      <c r="OQY181" s="23"/>
      <c r="OQZ181" s="23"/>
      <c r="ORA181" s="23"/>
      <c r="ORB181" s="23"/>
      <c r="ORC181" s="23"/>
      <c r="ORD181" s="23"/>
      <c r="ORE181" s="23"/>
      <c r="ORF181" s="23"/>
      <c r="ORG181" s="23"/>
      <c r="ORH181" s="23"/>
      <c r="ORI181" s="23"/>
      <c r="ORJ181" s="23"/>
      <c r="ORK181" s="23"/>
      <c r="ORL181" s="23"/>
      <c r="ORM181" s="23"/>
      <c r="ORN181" s="23"/>
      <c r="ORO181" s="23"/>
      <c r="ORP181" s="23"/>
      <c r="ORQ181" s="23"/>
      <c r="ORR181" s="23"/>
      <c r="ORS181" s="23"/>
      <c r="ORT181" s="23"/>
      <c r="ORU181" s="23"/>
      <c r="ORV181" s="23"/>
      <c r="ORW181" s="23"/>
      <c r="ORX181" s="23"/>
      <c r="ORY181" s="23"/>
      <c r="ORZ181" s="23"/>
      <c r="OSA181" s="23"/>
      <c r="OSB181" s="23"/>
      <c r="OSC181" s="23"/>
      <c r="OSD181" s="23"/>
      <c r="OSE181" s="23"/>
      <c r="OSF181" s="23"/>
      <c r="OSG181" s="23"/>
      <c r="OSH181" s="23"/>
      <c r="OSI181" s="23"/>
      <c r="OSJ181" s="23"/>
      <c r="OSK181" s="23"/>
      <c r="OSL181" s="23"/>
      <c r="OSM181" s="23"/>
      <c r="OSN181" s="23"/>
      <c r="OSO181" s="23"/>
      <c r="OSP181" s="23"/>
      <c r="OSQ181" s="23"/>
      <c r="OSR181" s="23"/>
      <c r="OSS181" s="23"/>
      <c r="OST181" s="23"/>
      <c r="OSU181" s="23"/>
      <c r="OSV181" s="23"/>
      <c r="OSW181" s="23"/>
      <c r="OSX181" s="23"/>
      <c r="OSY181" s="23"/>
      <c r="OSZ181" s="23"/>
      <c r="OTA181" s="23"/>
      <c r="OTB181" s="23"/>
      <c r="OTC181" s="23"/>
      <c r="OTD181" s="23"/>
      <c r="OTE181" s="23"/>
      <c r="OTF181" s="23"/>
      <c r="OTG181" s="23"/>
      <c r="OTH181" s="23"/>
      <c r="OTI181" s="23"/>
      <c r="OTJ181" s="23"/>
      <c r="OTK181" s="23"/>
      <c r="OTL181" s="23"/>
      <c r="OTM181" s="23"/>
      <c r="OTN181" s="23"/>
      <c r="OTO181" s="23"/>
      <c r="OTP181" s="23"/>
      <c r="OTQ181" s="23"/>
      <c r="OTR181" s="23"/>
      <c r="OTS181" s="23"/>
      <c r="OTT181" s="23"/>
      <c r="OTU181" s="23"/>
      <c r="OTV181" s="23"/>
      <c r="OTW181" s="23"/>
      <c r="OTX181" s="23"/>
      <c r="OTY181" s="23"/>
      <c r="OTZ181" s="23"/>
      <c r="OUA181" s="23"/>
      <c r="OUB181" s="23"/>
      <c r="OUC181" s="23"/>
      <c r="OUD181" s="23"/>
      <c r="OUE181" s="23"/>
      <c r="OUF181" s="23"/>
      <c r="OUG181" s="23"/>
      <c r="OUH181" s="23"/>
      <c r="OUI181" s="23"/>
      <c r="OUJ181" s="23"/>
      <c r="OUK181" s="23"/>
      <c r="OUL181" s="23"/>
      <c r="OUM181" s="23"/>
      <c r="OUN181" s="23"/>
      <c r="OUO181" s="23"/>
      <c r="OUP181" s="23"/>
      <c r="OUQ181" s="23"/>
      <c r="OUR181" s="23"/>
      <c r="OUS181" s="23"/>
      <c r="OUT181" s="23"/>
      <c r="OUU181" s="23"/>
      <c r="OUV181" s="23"/>
      <c r="OUW181" s="23"/>
      <c r="OUX181" s="23"/>
      <c r="OUY181" s="23"/>
      <c r="OUZ181" s="23"/>
      <c r="OVA181" s="23"/>
      <c r="OVB181" s="23"/>
      <c r="OVC181" s="23"/>
      <c r="OVD181" s="23"/>
      <c r="OVE181" s="23"/>
      <c r="OVF181" s="23"/>
      <c r="OVG181" s="23"/>
      <c r="OVH181" s="23"/>
      <c r="OVI181" s="23"/>
      <c r="OVJ181" s="23"/>
      <c r="OVK181" s="23"/>
      <c r="OVL181" s="23"/>
      <c r="OVM181" s="23"/>
      <c r="OVN181" s="23"/>
      <c r="OVO181" s="23"/>
      <c r="OVP181" s="23"/>
      <c r="OVQ181" s="23"/>
      <c r="OVR181" s="23"/>
      <c r="OVS181" s="23"/>
      <c r="OVT181" s="23"/>
      <c r="OVU181" s="23"/>
      <c r="OVV181" s="23"/>
      <c r="OVW181" s="23"/>
      <c r="OVX181" s="23"/>
      <c r="OVY181" s="23"/>
      <c r="OVZ181" s="23"/>
      <c r="OWA181" s="23"/>
      <c r="OWB181" s="23"/>
      <c r="OWC181" s="23"/>
      <c r="OWD181" s="23"/>
      <c r="OWE181" s="23"/>
      <c r="OWF181" s="23"/>
      <c r="OWG181" s="23"/>
      <c r="OWH181" s="23"/>
      <c r="OWI181" s="23"/>
      <c r="OWJ181" s="23"/>
      <c r="OWK181" s="23"/>
      <c r="OWL181" s="23"/>
      <c r="OWM181" s="23"/>
      <c r="OWN181" s="23"/>
      <c r="OWO181" s="23"/>
      <c r="OWP181" s="23"/>
      <c r="OWQ181" s="23"/>
      <c r="OWR181" s="23"/>
      <c r="OWS181" s="23"/>
      <c r="OWT181" s="23"/>
      <c r="OWU181" s="23"/>
      <c r="OWV181" s="23"/>
      <c r="OWW181" s="23"/>
      <c r="OWX181" s="23"/>
      <c r="OWY181" s="23"/>
      <c r="OWZ181" s="23"/>
      <c r="OXA181" s="23"/>
      <c r="OXB181" s="23"/>
      <c r="OXC181" s="23"/>
      <c r="OXD181" s="23"/>
      <c r="OXE181" s="23"/>
      <c r="OXF181" s="23"/>
      <c r="OXG181" s="23"/>
      <c r="OXH181" s="23"/>
      <c r="OXI181" s="23"/>
      <c r="OXJ181" s="23"/>
      <c r="OXK181" s="23"/>
      <c r="OXL181" s="23"/>
      <c r="OXM181" s="23"/>
      <c r="OXN181" s="23"/>
      <c r="OXO181" s="23"/>
      <c r="OXP181" s="23"/>
      <c r="OXQ181" s="23"/>
      <c r="OXR181" s="23"/>
      <c r="OXS181" s="23"/>
      <c r="OXT181" s="23"/>
      <c r="OXU181" s="23"/>
      <c r="OXV181" s="23"/>
      <c r="OXW181" s="23"/>
      <c r="OXX181" s="23"/>
      <c r="OXY181" s="23"/>
      <c r="OXZ181" s="23"/>
      <c r="OYA181" s="23"/>
      <c r="OYB181" s="23"/>
      <c r="OYC181" s="23"/>
      <c r="OYD181" s="23"/>
      <c r="OYE181" s="23"/>
      <c r="OYF181" s="23"/>
      <c r="OYG181" s="23"/>
      <c r="OYH181" s="23"/>
      <c r="OYI181" s="23"/>
      <c r="OYJ181" s="23"/>
      <c r="OYK181" s="23"/>
      <c r="OYL181" s="23"/>
      <c r="OYM181" s="23"/>
      <c r="OYN181" s="23"/>
      <c r="OYO181" s="23"/>
      <c r="OYP181" s="23"/>
      <c r="OYQ181" s="23"/>
      <c r="OYR181" s="23"/>
      <c r="OYS181" s="23"/>
      <c r="OYT181" s="23"/>
      <c r="OYU181" s="23"/>
      <c r="OYV181" s="23"/>
      <c r="OYW181" s="23"/>
      <c r="OYX181" s="23"/>
      <c r="OYY181" s="23"/>
      <c r="OYZ181" s="23"/>
      <c r="OZA181" s="23"/>
      <c r="OZB181" s="23"/>
      <c r="OZC181" s="23"/>
      <c r="OZD181" s="23"/>
      <c r="OZE181" s="23"/>
      <c r="OZF181" s="23"/>
      <c r="OZG181" s="23"/>
      <c r="OZH181" s="23"/>
      <c r="OZI181" s="23"/>
      <c r="OZJ181" s="23"/>
      <c r="OZK181" s="23"/>
      <c r="OZL181" s="23"/>
      <c r="OZM181" s="23"/>
      <c r="OZN181" s="23"/>
      <c r="OZO181" s="23"/>
      <c r="OZP181" s="23"/>
      <c r="OZQ181" s="23"/>
      <c r="OZR181" s="23"/>
      <c r="OZS181" s="23"/>
      <c r="OZT181" s="23"/>
      <c r="OZU181" s="23"/>
      <c r="OZV181" s="23"/>
      <c r="OZW181" s="23"/>
      <c r="OZX181" s="23"/>
      <c r="OZY181" s="23"/>
      <c r="OZZ181" s="23"/>
      <c r="PAA181" s="23"/>
      <c r="PAB181" s="23"/>
      <c r="PAC181" s="23"/>
      <c r="PAD181" s="23"/>
      <c r="PAE181" s="23"/>
      <c r="PAF181" s="23"/>
      <c r="PAG181" s="23"/>
      <c r="PAH181" s="23"/>
      <c r="PAI181" s="23"/>
      <c r="PAJ181" s="23"/>
      <c r="PAK181" s="23"/>
      <c r="PAL181" s="23"/>
      <c r="PAM181" s="23"/>
      <c r="PAN181" s="23"/>
      <c r="PAO181" s="23"/>
      <c r="PAP181" s="23"/>
      <c r="PAQ181" s="23"/>
      <c r="PAR181" s="23"/>
      <c r="PAS181" s="23"/>
      <c r="PAT181" s="23"/>
      <c r="PAU181" s="23"/>
      <c r="PAV181" s="23"/>
      <c r="PAW181" s="23"/>
      <c r="PAX181" s="23"/>
      <c r="PAY181" s="23"/>
      <c r="PAZ181" s="23"/>
      <c r="PBA181" s="23"/>
      <c r="PBB181" s="23"/>
      <c r="PBC181" s="23"/>
      <c r="PBD181" s="23"/>
      <c r="PBE181" s="23"/>
      <c r="PBF181" s="23"/>
      <c r="PBG181" s="23"/>
      <c r="PBH181" s="23"/>
      <c r="PBI181" s="23"/>
      <c r="PBJ181" s="23"/>
      <c r="PBK181" s="23"/>
      <c r="PBL181" s="23"/>
      <c r="PBM181" s="23"/>
      <c r="PBN181" s="23"/>
      <c r="PBO181" s="23"/>
      <c r="PBP181" s="23"/>
      <c r="PBQ181" s="23"/>
      <c r="PBR181" s="23"/>
      <c r="PBS181" s="23"/>
      <c r="PBT181" s="23"/>
      <c r="PBU181" s="23"/>
      <c r="PBV181" s="23"/>
      <c r="PBW181" s="23"/>
      <c r="PBX181" s="23"/>
      <c r="PBY181" s="23"/>
      <c r="PBZ181" s="23"/>
      <c r="PCA181" s="23"/>
      <c r="PCB181" s="23"/>
      <c r="PCC181" s="23"/>
      <c r="PCD181" s="23"/>
      <c r="PCE181" s="23"/>
      <c r="PCF181" s="23"/>
      <c r="PCG181" s="23"/>
      <c r="PCH181" s="23"/>
      <c r="PCI181" s="23"/>
      <c r="PCJ181" s="23"/>
      <c r="PCK181" s="23"/>
      <c r="PCL181" s="23"/>
      <c r="PCM181" s="23"/>
      <c r="PCN181" s="23"/>
      <c r="PCO181" s="23"/>
      <c r="PCP181" s="23"/>
      <c r="PCQ181" s="23"/>
      <c r="PCR181" s="23"/>
      <c r="PCS181" s="23"/>
      <c r="PCT181" s="23"/>
      <c r="PCU181" s="23"/>
      <c r="PCV181" s="23"/>
      <c r="PCW181" s="23"/>
      <c r="PCX181" s="23"/>
      <c r="PCY181" s="23"/>
      <c r="PCZ181" s="23"/>
      <c r="PDA181" s="23"/>
      <c r="PDB181" s="23"/>
      <c r="PDC181" s="23"/>
      <c r="PDD181" s="23"/>
      <c r="PDE181" s="23"/>
      <c r="PDF181" s="23"/>
      <c r="PDG181" s="23"/>
      <c r="PDH181" s="23"/>
      <c r="PDI181" s="23"/>
      <c r="PDJ181" s="23"/>
      <c r="PDK181" s="23"/>
      <c r="PDL181" s="23"/>
      <c r="PDM181" s="23"/>
      <c r="PDN181" s="23"/>
      <c r="PDO181" s="23"/>
      <c r="PDP181" s="23"/>
      <c r="PDQ181" s="23"/>
      <c r="PDR181" s="23"/>
      <c r="PDS181" s="23"/>
      <c r="PDT181" s="23"/>
      <c r="PDU181" s="23"/>
      <c r="PDV181" s="23"/>
      <c r="PDW181" s="23"/>
      <c r="PDX181" s="23"/>
      <c r="PDY181" s="23"/>
      <c r="PDZ181" s="23"/>
      <c r="PEA181" s="23"/>
      <c r="PEB181" s="23"/>
      <c r="PEC181" s="23"/>
      <c r="PED181" s="23"/>
      <c r="PEE181" s="23"/>
      <c r="PEF181" s="23"/>
      <c r="PEG181" s="23"/>
      <c r="PEH181" s="23"/>
      <c r="PEI181" s="23"/>
      <c r="PEJ181" s="23"/>
      <c r="PEK181" s="23"/>
      <c r="PEL181" s="23"/>
      <c r="PEM181" s="23"/>
      <c r="PEN181" s="23"/>
      <c r="PEO181" s="23"/>
      <c r="PEP181" s="23"/>
      <c r="PEQ181" s="23"/>
      <c r="PER181" s="23"/>
      <c r="PES181" s="23"/>
      <c r="PET181" s="23"/>
      <c r="PEU181" s="23"/>
      <c r="PEV181" s="23"/>
      <c r="PEW181" s="23"/>
      <c r="PEX181" s="23"/>
      <c r="PEY181" s="23"/>
      <c r="PEZ181" s="23"/>
      <c r="PFA181" s="23"/>
      <c r="PFB181" s="23"/>
      <c r="PFC181" s="23"/>
      <c r="PFD181" s="23"/>
      <c r="PFE181" s="23"/>
      <c r="PFF181" s="23"/>
      <c r="PFG181" s="23"/>
      <c r="PFH181" s="23"/>
      <c r="PFI181" s="23"/>
      <c r="PFJ181" s="23"/>
      <c r="PFK181" s="23"/>
      <c r="PFL181" s="23"/>
      <c r="PFM181" s="23"/>
      <c r="PFN181" s="23"/>
      <c r="PFO181" s="23"/>
      <c r="PFP181" s="23"/>
      <c r="PFQ181" s="23"/>
      <c r="PFR181" s="23"/>
      <c r="PFS181" s="23"/>
      <c r="PFT181" s="23"/>
      <c r="PFU181" s="23"/>
      <c r="PFV181" s="23"/>
      <c r="PFW181" s="23"/>
      <c r="PFX181" s="23"/>
      <c r="PFY181" s="23"/>
      <c r="PFZ181" s="23"/>
      <c r="PGA181" s="23"/>
      <c r="PGB181" s="23"/>
      <c r="PGC181" s="23"/>
      <c r="PGD181" s="23"/>
      <c r="PGE181" s="23"/>
      <c r="PGF181" s="23"/>
      <c r="PGG181" s="23"/>
      <c r="PGH181" s="23"/>
      <c r="PGI181" s="23"/>
      <c r="PGJ181" s="23"/>
      <c r="PGK181" s="23"/>
      <c r="PGL181" s="23"/>
      <c r="PGM181" s="23"/>
      <c r="PGN181" s="23"/>
      <c r="PGO181" s="23"/>
      <c r="PGP181" s="23"/>
      <c r="PGQ181" s="23"/>
      <c r="PGR181" s="23"/>
      <c r="PGS181" s="23"/>
      <c r="PGT181" s="23"/>
      <c r="PGU181" s="23"/>
      <c r="PGV181" s="23"/>
      <c r="PGW181" s="23"/>
      <c r="PGX181" s="23"/>
      <c r="PGY181" s="23"/>
      <c r="PGZ181" s="23"/>
      <c r="PHA181" s="23"/>
      <c r="PHB181" s="23"/>
      <c r="PHC181" s="23"/>
      <c r="PHD181" s="23"/>
      <c r="PHE181" s="23"/>
      <c r="PHF181" s="23"/>
      <c r="PHG181" s="23"/>
      <c r="PHH181" s="23"/>
      <c r="PHI181" s="23"/>
      <c r="PHJ181" s="23"/>
      <c r="PHK181" s="23"/>
      <c r="PHL181" s="23"/>
      <c r="PHM181" s="23"/>
      <c r="PHN181" s="23"/>
      <c r="PHO181" s="23"/>
      <c r="PHP181" s="23"/>
      <c r="PHQ181" s="23"/>
      <c r="PHR181" s="23"/>
      <c r="PHS181" s="23"/>
      <c r="PHT181" s="23"/>
      <c r="PHU181" s="23"/>
      <c r="PHV181" s="23"/>
      <c r="PHW181" s="23"/>
      <c r="PHX181" s="23"/>
      <c r="PHY181" s="23"/>
      <c r="PHZ181" s="23"/>
      <c r="PIA181" s="23"/>
      <c r="PIB181" s="23"/>
      <c r="PIC181" s="23"/>
      <c r="PID181" s="23"/>
      <c r="PIE181" s="23"/>
      <c r="PIF181" s="23"/>
      <c r="PIG181" s="23"/>
      <c r="PIH181" s="23"/>
      <c r="PII181" s="23"/>
      <c r="PIJ181" s="23"/>
      <c r="PIK181" s="23"/>
      <c r="PIL181" s="23"/>
      <c r="PIM181" s="23"/>
      <c r="PIN181" s="23"/>
      <c r="PIO181" s="23"/>
      <c r="PIP181" s="23"/>
      <c r="PIQ181" s="23"/>
      <c r="PIR181" s="23"/>
      <c r="PIS181" s="23"/>
      <c r="PIT181" s="23"/>
      <c r="PIU181" s="23"/>
      <c r="PIV181" s="23"/>
      <c r="PIW181" s="23"/>
      <c r="PIX181" s="23"/>
      <c r="PIY181" s="23"/>
      <c r="PIZ181" s="23"/>
      <c r="PJA181" s="23"/>
      <c r="PJB181" s="23"/>
      <c r="PJC181" s="23"/>
      <c r="PJD181" s="23"/>
      <c r="PJE181" s="23"/>
      <c r="PJF181" s="23"/>
      <c r="PJG181" s="23"/>
      <c r="PJH181" s="23"/>
      <c r="PJI181" s="23"/>
      <c r="PJJ181" s="23"/>
      <c r="PJK181" s="23"/>
      <c r="PJL181" s="23"/>
      <c r="PJM181" s="23"/>
      <c r="PJN181" s="23"/>
      <c r="PJO181" s="23"/>
      <c r="PJP181" s="23"/>
      <c r="PJQ181" s="23"/>
      <c r="PJR181" s="23"/>
      <c r="PJS181" s="23"/>
      <c r="PJT181" s="23"/>
      <c r="PJU181" s="23"/>
      <c r="PJV181" s="23"/>
      <c r="PJW181" s="23"/>
      <c r="PJX181" s="23"/>
      <c r="PJY181" s="23"/>
      <c r="PJZ181" s="23"/>
      <c r="PKA181" s="23"/>
      <c r="PKB181" s="23"/>
      <c r="PKC181" s="23"/>
      <c r="PKD181" s="23"/>
      <c r="PKE181" s="23"/>
      <c r="PKF181" s="23"/>
      <c r="PKG181" s="23"/>
      <c r="PKH181" s="23"/>
      <c r="PKI181" s="23"/>
      <c r="PKJ181" s="23"/>
      <c r="PKK181" s="23"/>
      <c r="PKL181" s="23"/>
      <c r="PKM181" s="23"/>
      <c r="PKN181" s="23"/>
      <c r="PKO181" s="23"/>
      <c r="PKP181" s="23"/>
      <c r="PKQ181" s="23"/>
      <c r="PKR181" s="23"/>
      <c r="PKS181" s="23"/>
      <c r="PKT181" s="23"/>
      <c r="PKU181" s="23"/>
      <c r="PKV181" s="23"/>
      <c r="PKW181" s="23"/>
      <c r="PKX181" s="23"/>
      <c r="PKY181" s="23"/>
      <c r="PKZ181" s="23"/>
      <c r="PLA181" s="23"/>
      <c r="PLB181" s="23"/>
      <c r="PLC181" s="23"/>
      <c r="PLD181" s="23"/>
      <c r="PLE181" s="23"/>
      <c r="PLF181" s="23"/>
      <c r="PLG181" s="23"/>
      <c r="PLH181" s="23"/>
      <c r="PLI181" s="23"/>
      <c r="PLJ181" s="23"/>
      <c r="PLK181" s="23"/>
      <c r="PLL181" s="23"/>
      <c r="PLM181" s="23"/>
      <c r="PLN181" s="23"/>
      <c r="PLO181" s="23"/>
      <c r="PLP181" s="23"/>
      <c r="PLQ181" s="23"/>
      <c r="PLR181" s="23"/>
      <c r="PLS181" s="23"/>
      <c r="PLT181" s="23"/>
      <c r="PLU181" s="23"/>
      <c r="PLV181" s="23"/>
      <c r="PLW181" s="23"/>
      <c r="PLX181" s="23"/>
      <c r="PLY181" s="23"/>
      <c r="PLZ181" s="23"/>
      <c r="PMA181" s="23"/>
      <c r="PMB181" s="23"/>
      <c r="PMC181" s="23"/>
      <c r="PMD181" s="23"/>
      <c r="PME181" s="23"/>
      <c r="PMF181" s="23"/>
      <c r="PMG181" s="23"/>
      <c r="PMH181" s="23"/>
      <c r="PMI181" s="23"/>
      <c r="PMJ181" s="23"/>
      <c r="PMK181" s="23"/>
      <c r="PML181" s="23"/>
      <c r="PMM181" s="23"/>
      <c r="PMN181" s="23"/>
      <c r="PMO181" s="23"/>
      <c r="PMP181" s="23"/>
      <c r="PMQ181" s="23"/>
      <c r="PMR181" s="23"/>
      <c r="PMS181" s="23"/>
      <c r="PMT181" s="23"/>
      <c r="PMU181" s="23"/>
      <c r="PMV181" s="23"/>
      <c r="PMW181" s="23"/>
      <c r="PMX181" s="23"/>
      <c r="PMY181" s="23"/>
      <c r="PMZ181" s="23"/>
      <c r="PNA181" s="23"/>
      <c r="PNB181" s="23"/>
      <c r="PNC181" s="23"/>
      <c r="PND181" s="23"/>
      <c r="PNE181" s="23"/>
      <c r="PNF181" s="23"/>
      <c r="PNG181" s="23"/>
      <c r="PNH181" s="23"/>
      <c r="PNI181" s="23"/>
      <c r="PNJ181" s="23"/>
      <c r="PNK181" s="23"/>
      <c r="PNL181" s="23"/>
      <c r="PNM181" s="23"/>
      <c r="PNN181" s="23"/>
      <c r="PNO181" s="23"/>
      <c r="PNP181" s="23"/>
      <c r="PNQ181" s="23"/>
      <c r="PNR181" s="23"/>
      <c r="PNS181" s="23"/>
      <c r="PNT181" s="23"/>
      <c r="PNU181" s="23"/>
      <c r="PNV181" s="23"/>
      <c r="PNW181" s="23"/>
      <c r="PNX181" s="23"/>
      <c r="PNY181" s="23"/>
      <c r="PNZ181" s="23"/>
      <c r="POA181" s="23"/>
      <c r="POB181" s="23"/>
      <c r="POC181" s="23"/>
      <c r="POD181" s="23"/>
      <c r="POE181" s="23"/>
      <c r="POF181" s="23"/>
      <c r="POG181" s="23"/>
      <c r="POH181" s="23"/>
      <c r="POI181" s="23"/>
      <c r="POJ181" s="23"/>
      <c r="POK181" s="23"/>
      <c r="POL181" s="23"/>
      <c r="POM181" s="23"/>
      <c r="PON181" s="23"/>
      <c r="POO181" s="23"/>
      <c r="POP181" s="23"/>
      <c r="POQ181" s="23"/>
      <c r="POR181" s="23"/>
      <c r="POS181" s="23"/>
      <c r="POT181" s="23"/>
      <c r="POU181" s="23"/>
      <c r="POV181" s="23"/>
      <c r="POW181" s="23"/>
      <c r="POX181" s="23"/>
      <c r="POY181" s="23"/>
      <c r="POZ181" s="23"/>
      <c r="PPA181" s="23"/>
      <c r="PPB181" s="23"/>
      <c r="PPC181" s="23"/>
      <c r="PPD181" s="23"/>
      <c r="PPE181" s="23"/>
      <c r="PPF181" s="23"/>
      <c r="PPG181" s="23"/>
      <c r="PPH181" s="23"/>
      <c r="PPI181" s="23"/>
      <c r="PPJ181" s="23"/>
      <c r="PPK181" s="23"/>
      <c r="PPL181" s="23"/>
      <c r="PPM181" s="23"/>
      <c r="PPN181" s="23"/>
      <c r="PPO181" s="23"/>
      <c r="PPP181" s="23"/>
      <c r="PPQ181" s="23"/>
      <c r="PPR181" s="23"/>
      <c r="PPS181" s="23"/>
      <c r="PPT181" s="23"/>
      <c r="PPU181" s="23"/>
      <c r="PPV181" s="23"/>
      <c r="PPW181" s="23"/>
      <c r="PPX181" s="23"/>
      <c r="PPY181" s="23"/>
      <c r="PPZ181" s="23"/>
      <c r="PQA181" s="23"/>
      <c r="PQB181" s="23"/>
      <c r="PQC181" s="23"/>
      <c r="PQD181" s="23"/>
      <c r="PQE181" s="23"/>
      <c r="PQF181" s="23"/>
      <c r="PQG181" s="23"/>
      <c r="PQH181" s="23"/>
      <c r="PQI181" s="23"/>
      <c r="PQJ181" s="23"/>
      <c r="PQK181" s="23"/>
      <c r="PQL181" s="23"/>
      <c r="PQM181" s="23"/>
      <c r="PQN181" s="23"/>
      <c r="PQO181" s="23"/>
      <c r="PQP181" s="23"/>
      <c r="PQQ181" s="23"/>
      <c r="PQR181" s="23"/>
      <c r="PQS181" s="23"/>
      <c r="PQT181" s="23"/>
      <c r="PQU181" s="23"/>
      <c r="PQV181" s="23"/>
      <c r="PQW181" s="23"/>
      <c r="PQX181" s="23"/>
      <c r="PQY181" s="23"/>
      <c r="PQZ181" s="23"/>
      <c r="PRA181" s="23"/>
      <c r="PRB181" s="23"/>
      <c r="PRC181" s="23"/>
      <c r="PRD181" s="23"/>
      <c r="PRE181" s="23"/>
      <c r="PRF181" s="23"/>
      <c r="PRG181" s="23"/>
      <c r="PRH181" s="23"/>
      <c r="PRI181" s="23"/>
      <c r="PRJ181" s="23"/>
      <c r="PRK181" s="23"/>
      <c r="PRL181" s="23"/>
      <c r="PRM181" s="23"/>
      <c r="PRN181" s="23"/>
      <c r="PRO181" s="23"/>
      <c r="PRP181" s="23"/>
      <c r="PRQ181" s="23"/>
      <c r="PRR181" s="23"/>
      <c r="PRS181" s="23"/>
      <c r="PRT181" s="23"/>
      <c r="PRU181" s="23"/>
      <c r="PRV181" s="23"/>
      <c r="PRW181" s="23"/>
      <c r="PRX181" s="23"/>
      <c r="PRY181" s="23"/>
      <c r="PRZ181" s="23"/>
      <c r="PSA181" s="23"/>
      <c r="PSB181" s="23"/>
      <c r="PSC181" s="23"/>
      <c r="PSD181" s="23"/>
      <c r="PSE181" s="23"/>
      <c r="PSF181" s="23"/>
      <c r="PSG181" s="23"/>
      <c r="PSH181" s="23"/>
      <c r="PSI181" s="23"/>
      <c r="PSJ181" s="23"/>
      <c r="PSK181" s="23"/>
      <c r="PSL181" s="23"/>
      <c r="PSM181" s="23"/>
      <c r="PSN181" s="23"/>
      <c r="PSO181" s="23"/>
      <c r="PSP181" s="23"/>
      <c r="PSQ181" s="23"/>
      <c r="PSR181" s="23"/>
      <c r="PSS181" s="23"/>
      <c r="PST181" s="23"/>
      <c r="PSU181" s="23"/>
      <c r="PSV181" s="23"/>
      <c r="PSW181" s="23"/>
      <c r="PSX181" s="23"/>
      <c r="PSY181" s="23"/>
      <c r="PSZ181" s="23"/>
      <c r="PTA181" s="23"/>
      <c r="PTB181" s="23"/>
      <c r="PTC181" s="23"/>
      <c r="PTD181" s="23"/>
      <c r="PTE181" s="23"/>
      <c r="PTF181" s="23"/>
      <c r="PTG181" s="23"/>
      <c r="PTH181" s="23"/>
      <c r="PTI181" s="23"/>
      <c r="PTJ181" s="23"/>
      <c r="PTK181" s="23"/>
      <c r="PTL181" s="23"/>
      <c r="PTM181" s="23"/>
      <c r="PTN181" s="23"/>
      <c r="PTO181" s="23"/>
      <c r="PTP181" s="23"/>
      <c r="PTQ181" s="23"/>
      <c r="PTR181" s="23"/>
      <c r="PTS181" s="23"/>
      <c r="PTT181" s="23"/>
      <c r="PTU181" s="23"/>
      <c r="PTV181" s="23"/>
      <c r="PTW181" s="23"/>
      <c r="PTX181" s="23"/>
      <c r="PTY181" s="23"/>
      <c r="PTZ181" s="23"/>
      <c r="PUA181" s="23"/>
      <c r="PUB181" s="23"/>
      <c r="PUC181" s="23"/>
      <c r="PUD181" s="23"/>
      <c r="PUE181" s="23"/>
      <c r="PUF181" s="23"/>
      <c r="PUG181" s="23"/>
      <c r="PUH181" s="23"/>
      <c r="PUI181" s="23"/>
      <c r="PUJ181" s="23"/>
      <c r="PUK181" s="23"/>
      <c r="PUL181" s="23"/>
      <c r="PUM181" s="23"/>
      <c r="PUN181" s="23"/>
      <c r="PUO181" s="23"/>
      <c r="PUP181" s="23"/>
      <c r="PUQ181" s="23"/>
      <c r="PUR181" s="23"/>
      <c r="PUS181" s="23"/>
      <c r="PUT181" s="23"/>
      <c r="PUU181" s="23"/>
      <c r="PUV181" s="23"/>
      <c r="PUW181" s="23"/>
      <c r="PUX181" s="23"/>
      <c r="PUY181" s="23"/>
      <c r="PUZ181" s="23"/>
      <c r="PVA181" s="23"/>
      <c r="PVB181" s="23"/>
      <c r="PVC181" s="23"/>
      <c r="PVD181" s="23"/>
      <c r="PVE181" s="23"/>
      <c r="PVF181" s="23"/>
      <c r="PVG181" s="23"/>
      <c r="PVH181" s="23"/>
      <c r="PVI181" s="23"/>
      <c r="PVJ181" s="23"/>
      <c r="PVK181" s="23"/>
      <c r="PVL181" s="23"/>
      <c r="PVM181" s="23"/>
      <c r="PVN181" s="23"/>
      <c r="PVO181" s="23"/>
      <c r="PVP181" s="23"/>
      <c r="PVQ181" s="23"/>
      <c r="PVR181" s="23"/>
      <c r="PVS181" s="23"/>
      <c r="PVT181" s="23"/>
      <c r="PVU181" s="23"/>
      <c r="PVV181" s="23"/>
      <c r="PVW181" s="23"/>
      <c r="PVX181" s="23"/>
      <c r="PVY181" s="23"/>
      <c r="PVZ181" s="23"/>
      <c r="PWA181" s="23"/>
      <c r="PWB181" s="23"/>
      <c r="PWC181" s="23"/>
      <c r="PWD181" s="23"/>
      <c r="PWE181" s="23"/>
      <c r="PWF181" s="23"/>
      <c r="PWG181" s="23"/>
      <c r="PWH181" s="23"/>
      <c r="PWI181" s="23"/>
      <c r="PWJ181" s="23"/>
      <c r="PWK181" s="23"/>
      <c r="PWL181" s="23"/>
      <c r="PWM181" s="23"/>
      <c r="PWN181" s="23"/>
      <c r="PWO181" s="23"/>
      <c r="PWP181" s="23"/>
      <c r="PWQ181" s="23"/>
      <c r="PWR181" s="23"/>
      <c r="PWS181" s="23"/>
      <c r="PWT181" s="23"/>
      <c r="PWU181" s="23"/>
      <c r="PWV181" s="23"/>
      <c r="PWW181" s="23"/>
      <c r="PWX181" s="23"/>
      <c r="PWY181" s="23"/>
      <c r="PWZ181" s="23"/>
      <c r="PXA181" s="23"/>
      <c r="PXB181" s="23"/>
      <c r="PXC181" s="23"/>
      <c r="PXD181" s="23"/>
      <c r="PXE181" s="23"/>
      <c r="PXF181" s="23"/>
      <c r="PXG181" s="23"/>
      <c r="PXH181" s="23"/>
      <c r="PXI181" s="23"/>
      <c r="PXJ181" s="23"/>
      <c r="PXK181" s="23"/>
      <c r="PXL181" s="23"/>
      <c r="PXM181" s="23"/>
      <c r="PXN181" s="23"/>
      <c r="PXO181" s="23"/>
      <c r="PXP181" s="23"/>
      <c r="PXQ181" s="23"/>
      <c r="PXR181" s="23"/>
      <c r="PXS181" s="23"/>
      <c r="PXT181" s="23"/>
      <c r="PXU181" s="23"/>
      <c r="PXV181" s="23"/>
      <c r="PXW181" s="23"/>
      <c r="PXX181" s="23"/>
      <c r="PXY181" s="23"/>
      <c r="PXZ181" s="23"/>
      <c r="PYA181" s="23"/>
      <c r="PYB181" s="23"/>
      <c r="PYC181" s="23"/>
      <c r="PYD181" s="23"/>
      <c r="PYE181" s="23"/>
      <c r="PYF181" s="23"/>
      <c r="PYG181" s="23"/>
      <c r="PYH181" s="23"/>
      <c r="PYI181" s="23"/>
      <c r="PYJ181" s="23"/>
      <c r="PYK181" s="23"/>
      <c r="PYL181" s="23"/>
      <c r="PYM181" s="23"/>
      <c r="PYN181" s="23"/>
      <c r="PYO181" s="23"/>
      <c r="PYP181" s="23"/>
      <c r="PYQ181" s="23"/>
      <c r="PYR181" s="23"/>
      <c r="PYS181" s="23"/>
      <c r="PYT181" s="23"/>
      <c r="PYU181" s="23"/>
      <c r="PYV181" s="23"/>
      <c r="PYW181" s="23"/>
      <c r="PYX181" s="23"/>
      <c r="PYY181" s="23"/>
      <c r="PYZ181" s="23"/>
      <c r="PZA181" s="23"/>
      <c r="PZB181" s="23"/>
      <c r="PZC181" s="23"/>
      <c r="PZD181" s="23"/>
      <c r="PZE181" s="23"/>
      <c r="PZF181" s="23"/>
      <c r="PZG181" s="23"/>
      <c r="PZH181" s="23"/>
      <c r="PZI181" s="23"/>
      <c r="PZJ181" s="23"/>
      <c r="PZK181" s="23"/>
      <c r="PZL181" s="23"/>
      <c r="PZM181" s="23"/>
      <c r="PZN181" s="23"/>
      <c r="PZO181" s="23"/>
      <c r="PZP181" s="23"/>
      <c r="PZQ181" s="23"/>
      <c r="PZR181" s="23"/>
      <c r="PZS181" s="23"/>
      <c r="PZT181" s="23"/>
      <c r="PZU181" s="23"/>
      <c r="PZV181" s="23"/>
      <c r="PZW181" s="23"/>
      <c r="PZX181" s="23"/>
      <c r="PZY181" s="23"/>
      <c r="PZZ181" s="23"/>
      <c r="QAA181" s="23"/>
      <c r="QAB181" s="23"/>
      <c r="QAC181" s="23"/>
      <c r="QAD181" s="23"/>
      <c r="QAE181" s="23"/>
      <c r="QAF181" s="23"/>
      <c r="QAG181" s="23"/>
      <c r="QAH181" s="23"/>
      <c r="QAI181" s="23"/>
      <c r="QAJ181" s="23"/>
      <c r="QAK181" s="23"/>
      <c r="QAL181" s="23"/>
      <c r="QAM181" s="23"/>
      <c r="QAN181" s="23"/>
      <c r="QAO181" s="23"/>
      <c r="QAP181" s="23"/>
      <c r="QAQ181" s="23"/>
      <c r="QAR181" s="23"/>
      <c r="QAS181" s="23"/>
      <c r="QAT181" s="23"/>
      <c r="QAU181" s="23"/>
      <c r="QAV181" s="23"/>
      <c r="QAW181" s="23"/>
      <c r="QAX181" s="23"/>
      <c r="QAY181" s="23"/>
      <c r="QAZ181" s="23"/>
      <c r="QBA181" s="23"/>
      <c r="QBB181" s="23"/>
      <c r="QBC181" s="23"/>
      <c r="QBD181" s="23"/>
      <c r="QBE181" s="23"/>
      <c r="QBF181" s="23"/>
      <c r="QBG181" s="23"/>
      <c r="QBH181" s="23"/>
      <c r="QBI181" s="23"/>
      <c r="QBJ181" s="23"/>
      <c r="QBK181" s="23"/>
      <c r="QBL181" s="23"/>
      <c r="QBM181" s="23"/>
      <c r="QBN181" s="23"/>
      <c r="QBO181" s="23"/>
      <c r="QBP181" s="23"/>
      <c r="QBQ181" s="23"/>
      <c r="QBR181" s="23"/>
      <c r="QBS181" s="23"/>
      <c r="QBT181" s="23"/>
      <c r="QBU181" s="23"/>
      <c r="QBV181" s="23"/>
      <c r="QBW181" s="23"/>
      <c r="QBX181" s="23"/>
      <c r="QBY181" s="23"/>
      <c r="QBZ181" s="23"/>
      <c r="QCA181" s="23"/>
      <c r="QCB181" s="23"/>
      <c r="QCC181" s="23"/>
      <c r="QCD181" s="23"/>
      <c r="QCE181" s="23"/>
      <c r="QCF181" s="23"/>
      <c r="QCG181" s="23"/>
      <c r="QCH181" s="23"/>
      <c r="QCI181" s="23"/>
      <c r="QCJ181" s="23"/>
      <c r="QCK181" s="23"/>
      <c r="QCL181" s="23"/>
      <c r="QCM181" s="23"/>
      <c r="QCN181" s="23"/>
      <c r="QCO181" s="23"/>
      <c r="QCP181" s="23"/>
      <c r="QCQ181" s="23"/>
      <c r="QCR181" s="23"/>
      <c r="QCS181" s="23"/>
      <c r="QCT181" s="23"/>
      <c r="QCU181" s="23"/>
      <c r="QCV181" s="23"/>
      <c r="QCW181" s="23"/>
      <c r="QCX181" s="23"/>
      <c r="QCY181" s="23"/>
      <c r="QCZ181" s="23"/>
      <c r="QDA181" s="23"/>
      <c r="QDB181" s="23"/>
      <c r="QDC181" s="23"/>
      <c r="QDD181" s="23"/>
      <c r="QDE181" s="23"/>
      <c r="QDF181" s="23"/>
      <c r="QDG181" s="23"/>
      <c r="QDH181" s="23"/>
      <c r="QDI181" s="23"/>
      <c r="QDJ181" s="23"/>
      <c r="QDK181" s="23"/>
      <c r="QDL181" s="23"/>
      <c r="QDM181" s="23"/>
      <c r="QDN181" s="23"/>
      <c r="QDO181" s="23"/>
      <c r="QDP181" s="23"/>
      <c r="QDQ181" s="23"/>
      <c r="QDR181" s="23"/>
      <c r="QDS181" s="23"/>
      <c r="QDT181" s="23"/>
      <c r="QDU181" s="23"/>
      <c r="QDV181" s="23"/>
      <c r="QDW181" s="23"/>
      <c r="QDX181" s="23"/>
      <c r="QDY181" s="23"/>
      <c r="QDZ181" s="23"/>
      <c r="QEA181" s="23"/>
      <c r="QEB181" s="23"/>
      <c r="QEC181" s="23"/>
      <c r="QED181" s="23"/>
      <c r="QEE181" s="23"/>
      <c r="QEF181" s="23"/>
      <c r="QEG181" s="23"/>
      <c r="QEH181" s="23"/>
      <c r="QEI181" s="23"/>
      <c r="QEJ181" s="23"/>
      <c r="QEK181" s="23"/>
      <c r="QEL181" s="23"/>
      <c r="QEM181" s="23"/>
      <c r="QEN181" s="23"/>
      <c r="QEO181" s="23"/>
      <c r="QEP181" s="23"/>
      <c r="QEQ181" s="23"/>
      <c r="QER181" s="23"/>
      <c r="QES181" s="23"/>
      <c r="QET181" s="23"/>
      <c r="QEU181" s="23"/>
      <c r="QEV181" s="23"/>
      <c r="QEW181" s="23"/>
      <c r="QEX181" s="23"/>
      <c r="QEY181" s="23"/>
      <c r="QEZ181" s="23"/>
      <c r="QFA181" s="23"/>
      <c r="QFB181" s="23"/>
      <c r="QFC181" s="23"/>
      <c r="QFD181" s="23"/>
      <c r="QFE181" s="23"/>
      <c r="QFF181" s="23"/>
      <c r="QFG181" s="23"/>
      <c r="QFH181" s="23"/>
      <c r="QFI181" s="23"/>
      <c r="QFJ181" s="23"/>
      <c r="QFK181" s="23"/>
      <c r="QFL181" s="23"/>
      <c r="QFM181" s="23"/>
      <c r="QFN181" s="23"/>
      <c r="QFO181" s="23"/>
      <c r="QFP181" s="23"/>
      <c r="QFQ181" s="23"/>
      <c r="QFR181" s="23"/>
      <c r="QFS181" s="23"/>
      <c r="QFT181" s="23"/>
      <c r="QFU181" s="23"/>
      <c r="QFV181" s="23"/>
      <c r="QFW181" s="23"/>
      <c r="QFX181" s="23"/>
      <c r="QFY181" s="23"/>
      <c r="QFZ181" s="23"/>
      <c r="QGA181" s="23"/>
      <c r="QGB181" s="23"/>
      <c r="QGC181" s="23"/>
      <c r="QGD181" s="23"/>
      <c r="QGE181" s="23"/>
      <c r="QGF181" s="23"/>
      <c r="QGG181" s="23"/>
      <c r="QGH181" s="23"/>
      <c r="QGI181" s="23"/>
      <c r="QGJ181" s="23"/>
      <c r="QGK181" s="23"/>
      <c r="QGL181" s="23"/>
      <c r="QGM181" s="23"/>
      <c r="QGN181" s="23"/>
      <c r="QGO181" s="23"/>
      <c r="QGP181" s="23"/>
      <c r="QGQ181" s="23"/>
      <c r="QGR181" s="23"/>
      <c r="QGS181" s="23"/>
      <c r="QGT181" s="23"/>
      <c r="QGU181" s="23"/>
      <c r="QGV181" s="23"/>
      <c r="QGW181" s="23"/>
      <c r="QGX181" s="23"/>
      <c r="QGY181" s="23"/>
      <c r="QGZ181" s="23"/>
      <c r="QHA181" s="23"/>
      <c r="QHB181" s="23"/>
      <c r="QHC181" s="23"/>
      <c r="QHD181" s="23"/>
      <c r="QHE181" s="23"/>
      <c r="QHF181" s="23"/>
      <c r="QHG181" s="23"/>
      <c r="QHH181" s="23"/>
      <c r="QHI181" s="23"/>
      <c r="QHJ181" s="23"/>
      <c r="QHK181" s="23"/>
      <c r="QHL181" s="23"/>
      <c r="QHM181" s="23"/>
      <c r="QHN181" s="23"/>
      <c r="QHO181" s="23"/>
      <c r="QHP181" s="23"/>
      <c r="QHQ181" s="23"/>
      <c r="QHR181" s="23"/>
      <c r="QHS181" s="23"/>
      <c r="QHT181" s="23"/>
      <c r="QHU181" s="23"/>
      <c r="QHV181" s="23"/>
      <c r="QHW181" s="23"/>
      <c r="QHX181" s="23"/>
      <c r="QHY181" s="23"/>
      <c r="QHZ181" s="23"/>
      <c r="QIA181" s="23"/>
      <c r="QIB181" s="23"/>
      <c r="QIC181" s="23"/>
      <c r="QID181" s="23"/>
      <c r="QIE181" s="23"/>
      <c r="QIF181" s="23"/>
      <c r="QIG181" s="23"/>
      <c r="QIH181" s="23"/>
      <c r="QII181" s="23"/>
      <c r="QIJ181" s="23"/>
      <c r="QIK181" s="23"/>
      <c r="QIL181" s="23"/>
      <c r="QIM181" s="23"/>
      <c r="QIN181" s="23"/>
      <c r="QIO181" s="23"/>
      <c r="QIP181" s="23"/>
      <c r="QIQ181" s="23"/>
      <c r="QIR181" s="23"/>
      <c r="QIS181" s="23"/>
      <c r="QIT181" s="23"/>
      <c r="QIU181" s="23"/>
      <c r="QIV181" s="23"/>
      <c r="QIW181" s="23"/>
      <c r="QIX181" s="23"/>
      <c r="QIY181" s="23"/>
      <c r="QIZ181" s="23"/>
      <c r="QJA181" s="23"/>
      <c r="QJB181" s="23"/>
      <c r="QJC181" s="23"/>
      <c r="QJD181" s="23"/>
      <c r="QJE181" s="23"/>
      <c r="QJF181" s="23"/>
      <c r="QJG181" s="23"/>
      <c r="QJH181" s="23"/>
      <c r="QJI181" s="23"/>
      <c r="QJJ181" s="23"/>
      <c r="QJK181" s="23"/>
      <c r="QJL181" s="23"/>
      <c r="QJM181" s="23"/>
      <c r="QJN181" s="23"/>
      <c r="QJO181" s="23"/>
      <c r="QJP181" s="23"/>
      <c r="QJQ181" s="23"/>
      <c r="QJR181" s="23"/>
      <c r="QJS181" s="23"/>
      <c r="QJT181" s="23"/>
      <c r="QJU181" s="23"/>
      <c r="QJV181" s="23"/>
      <c r="QJW181" s="23"/>
      <c r="QJX181" s="23"/>
      <c r="QJY181" s="23"/>
      <c r="QJZ181" s="23"/>
      <c r="QKA181" s="23"/>
      <c r="QKB181" s="23"/>
      <c r="QKC181" s="23"/>
      <c r="QKD181" s="23"/>
      <c r="QKE181" s="23"/>
      <c r="QKF181" s="23"/>
      <c r="QKG181" s="23"/>
      <c r="QKH181" s="23"/>
      <c r="QKI181" s="23"/>
      <c r="QKJ181" s="23"/>
      <c r="QKK181" s="23"/>
      <c r="QKL181" s="23"/>
      <c r="QKM181" s="23"/>
      <c r="QKN181" s="23"/>
      <c r="QKO181" s="23"/>
      <c r="QKP181" s="23"/>
      <c r="QKQ181" s="23"/>
      <c r="QKR181" s="23"/>
      <c r="QKS181" s="23"/>
      <c r="QKT181" s="23"/>
      <c r="QKU181" s="23"/>
      <c r="QKV181" s="23"/>
      <c r="QKW181" s="23"/>
      <c r="QKX181" s="23"/>
      <c r="QKY181" s="23"/>
      <c r="QKZ181" s="23"/>
      <c r="QLA181" s="23"/>
      <c r="QLB181" s="23"/>
      <c r="QLC181" s="23"/>
      <c r="QLD181" s="23"/>
      <c r="QLE181" s="23"/>
      <c r="QLF181" s="23"/>
      <c r="QLG181" s="23"/>
      <c r="QLH181" s="23"/>
      <c r="QLI181" s="23"/>
      <c r="QLJ181" s="23"/>
      <c r="QLK181" s="23"/>
      <c r="QLL181" s="23"/>
      <c r="QLM181" s="23"/>
      <c r="QLN181" s="23"/>
      <c r="QLO181" s="23"/>
      <c r="QLP181" s="23"/>
      <c r="QLQ181" s="23"/>
      <c r="QLR181" s="23"/>
      <c r="QLS181" s="23"/>
      <c r="QLT181" s="23"/>
      <c r="QLU181" s="23"/>
      <c r="QLV181" s="23"/>
      <c r="QLW181" s="23"/>
      <c r="QLX181" s="23"/>
      <c r="QLY181" s="23"/>
      <c r="QLZ181" s="23"/>
      <c r="QMA181" s="23"/>
      <c r="QMB181" s="23"/>
      <c r="QMC181" s="23"/>
      <c r="QMD181" s="23"/>
      <c r="QME181" s="23"/>
      <c r="QMF181" s="23"/>
      <c r="QMG181" s="23"/>
      <c r="QMH181" s="23"/>
      <c r="QMI181" s="23"/>
      <c r="QMJ181" s="23"/>
      <c r="QMK181" s="23"/>
      <c r="QML181" s="23"/>
      <c r="QMM181" s="23"/>
      <c r="QMN181" s="23"/>
      <c r="QMO181" s="23"/>
      <c r="QMP181" s="23"/>
      <c r="QMQ181" s="23"/>
      <c r="QMR181" s="23"/>
      <c r="QMS181" s="23"/>
      <c r="QMT181" s="23"/>
      <c r="QMU181" s="23"/>
      <c r="QMV181" s="23"/>
      <c r="QMW181" s="23"/>
      <c r="QMX181" s="23"/>
      <c r="QMY181" s="23"/>
      <c r="QMZ181" s="23"/>
      <c r="QNA181" s="23"/>
      <c r="QNB181" s="23"/>
      <c r="QNC181" s="23"/>
      <c r="QND181" s="23"/>
      <c r="QNE181" s="23"/>
      <c r="QNF181" s="23"/>
      <c r="QNG181" s="23"/>
      <c r="QNH181" s="23"/>
      <c r="QNI181" s="23"/>
      <c r="QNJ181" s="23"/>
      <c r="QNK181" s="23"/>
      <c r="QNL181" s="23"/>
      <c r="QNM181" s="23"/>
      <c r="QNN181" s="23"/>
      <c r="QNO181" s="23"/>
      <c r="QNP181" s="23"/>
      <c r="QNQ181" s="23"/>
      <c r="QNR181" s="23"/>
      <c r="QNS181" s="23"/>
      <c r="QNT181" s="23"/>
      <c r="QNU181" s="23"/>
      <c r="QNV181" s="23"/>
      <c r="QNW181" s="23"/>
      <c r="QNX181" s="23"/>
      <c r="QNY181" s="23"/>
      <c r="QNZ181" s="23"/>
      <c r="QOA181" s="23"/>
      <c r="QOB181" s="23"/>
      <c r="QOC181" s="23"/>
      <c r="QOD181" s="23"/>
      <c r="QOE181" s="23"/>
      <c r="QOF181" s="23"/>
      <c r="QOG181" s="23"/>
      <c r="QOH181" s="23"/>
      <c r="QOI181" s="23"/>
      <c r="QOJ181" s="23"/>
      <c r="QOK181" s="23"/>
      <c r="QOL181" s="23"/>
      <c r="QOM181" s="23"/>
      <c r="QON181" s="23"/>
      <c r="QOO181" s="23"/>
      <c r="QOP181" s="23"/>
      <c r="QOQ181" s="23"/>
      <c r="QOR181" s="23"/>
      <c r="QOS181" s="23"/>
      <c r="QOT181" s="23"/>
      <c r="QOU181" s="23"/>
      <c r="QOV181" s="23"/>
      <c r="QOW181" s="23"/>
      <c r="QOX181" s="23"/>
      <c r="QOY181" s="23"/>
      <c r="QOZ181" s="23"/>
      <c r="QPA181" s="23"/>
      <c r="QPB181" s="23"/>
      <c r="QPC181" s="23"/>
      <c r="QPD181" s="23"/>
      <c r="QPE181" s="23"/>
      <c r="QPF181" s="23"/>
      <c r="QPG181" s="23"/>
      <c r="QPH181" s="23"/>
      <c r="QPI181" s="23"/>
      <c r="QPJ181" s="23"/>
      <c r="QPK181" s="23"/>
      <c r="QPL181" s="23"/>
      <c r="QPM181" s="23"/>
      <c r="QPN181" s="23"/>
      <c r="QPO181" s="23"/>
      <c r="QPP181" s="23"/>
      <c r="QPQ181" s="23"/>
      <c r="QPR181" s="23"/>
      <c r="QPS181" s="23"/>
      <c r="QPT181" s="23"/>
      <c r="QPU181" s="23"/>
      <c r="QPV181" s="23"/>
      <c r="QPW181" s="23"/>
      <c r="QPX181" s="23"/>
      <c r="QPY181" s="23"/>
      <c r="QPZ181" s="23"/>
      <c r="QQA181" s="23"/>
      <c r="QQB181" s="23"/>
      <c r="QQC181" s="23"/>
      <c r="QQD181" s="23"/>
      <c r="QQE181" s="23"/>
      <c r="QQF181" s="23"/>
      <c r="QQG181" s="23"/>
      <c r="QQH181" s="23"/>
      <c r="QQI181" s="23"/>
      <c r="QQJ181" s="23"/>
      <c r="QQK181" s="23"/>
      <c r="QQL181" s="23"/>
      <c r="QQM181" s="23"/>
      <c r="QQN181" s="23"/>
      <c r="QQO181" s="23"/>
      <c r="QQP181" s="23"/>
      <c r="QQQ181" s="23"/>
      <c r="QQR181" s="23"/>
      <c r="QQS181" s="23"/>
      <c r="QQT181" s="23"/>
      <c r="QQU181" s="23"/>
      <c r="QQV181" s="23"/>
      <c r="QQW181" s="23"/>
      <c r="QQX181" s="23"/>
      <c r="QQY181" s="23"/>
      <c r="QQZ181" s="23"/>
      <c r="QRA181" s="23"/>
      <c r="QRB181" s="23"/>
      <c r="QRC181" s="23"/>
      <c r="QRD181" s="23"/>
      <c r="QRE181" s="23"/>
      <c r="QRF181" s="23"/>
      <c r="QRG181" s="23"/>
      <c r="QRH181" s="23"/>
      <c r="QRI181" s="23"/>
      <c r="QRJ181" s="23"/>
      <c r="QRK181" s="23"/>
      <c r="QRL181" s="23"/>
      <c r="QRM181" s="23"/>
      <c r="QRN181" s="23"/>
      <c r="QRO181" s="23"/>
      <c r="QRP181" s="23"/>
      <c r="QRQ181" s="23"/>
      <c r="QRR181" s="23"/>
      <c r="QRS181" s="23"/>
      <c r="QRT181" s="23"/>
      <c r="QRU181" s="23"/>
      <c r="QRV181" s="23"/>
      <c r="QRW181" s="23"/>
      <c r="QRX181" s="23"/>
      <c r="QRY181" s="23"/>
      <c r="QRZ181" s="23"/>
      <c r="QSA181" s="23"/>
      <c r="QSB181" s="23"/>
      <c r="QSC181" s="23"/>
      <c r="QSD181" s="23"/>
      <c r="QSE181" s="23"/>
      <c r="QSF181" s="23"/>
      <c r="QSG181" s="23"/>
      <c r="QSH181" s="23"/>
      <c r="QSI181" s="23"/>
      <c r="QSJ181" s="23"/>
      <c r="QSK181" s="23"/>
      <c r="QSL181" s="23"/>
      <c r="QSM181" s="23"/>
      <c r="QSN181" s="23"/>
      <c r="QSO181" s="23"/>
      <c r="QSP181" s="23"/>
      <c r="QSQ181" s="23"/>
      <c r="QSR181" s="23"/>
      <c r="QSS181" s="23"/>
      <c r="QST181" s="23"/>
      <c r="QSU181" s="23"/>
      <c r="QSV181" s="23"/>
      <c r="QSW181" s="23"/>
      <c r="QSX181" s="23"/>
      <c r="QSY181" s="23"/>
      <c r="QSZ181" s="23"/>
      <c r="QTA181" s="23"/>
      <c r="QTB181" s="23"/>
      <c r="QTC181" s="23"/>
      <c r="QTD181" s="23"/>
      <c r="QTE181" s="23"/>
      <c r="QTF181" s="23"/>
      <c r="QTG181" s="23"/>
      <c r="QTH181" s="23"/>
      <c r="QTI181" s="23"/>
      <c r="QTJ181" s="23"/>
      <c r="QTK181" s="23"/>
      <c r="QTL181" s="23"/>
      <c r="QTM181" s="23"/>
      <c r="QTN181" s="23"/>
      <c r="QTO181" s="23"/>
      <c r="QTP181" s="23"/>
      <c r="QTQ181" s="23"/>
      <c r="QTR181" s="23"/>
      <c r="QTS181" s="23"/>
      <c r="QTT181" s="23"/>
      <c r="QTU181" s="23"/>
      <c r="QTV181" s="23"/>
      <c r="QTW181" s="23"/>
      <c r="QTX181" s="23"/>
      <c r="QTY181" s="23"/>
      <c r="QTZ181" s="23"/>
      <c r="QUA181" s="23"/>
      <c r="QUB181" s="23"/>
      <c r="QUC181" s="23"/>
      <c r="QUD181" s="23"/>
      <c r="QUE181" s="23"/>
      <c r="QUF181" s="23"/>
      <c r="QUG181" s="23"/>
      <c r="QUH181" s="23"/>
      <c r="QUI181" s="23"/>
      <c r="QUJ181" s="23"/>
      <c r="QUK181" s="23"/>
      <c r="QUL181" s="23"/>
      <c r="QUM181" s="23"/>
      <c r="QUN181" s="23"/>
      <c r="QUO181" s="23"/>
      <c r="QUP181" s="23"/>
      <c r="QUQ181" s="23"/>
      <c r="QUR181" s="23"/>
      <c r="QUS181" s="23"/>
      <c r="QUT181" s="23"/>
      <c r="QUU181" s="23"/>
      <c r="QUV181" s="23"/>
      <c r="QUW181" s="23"/>
      <c r="QUX181" s="23"/>
      <c r="QUY181" s="23"/>
      <c r="QUZ181" s="23"/>
      <c r="QVA181" s="23"/>
      <c r="QVB181" s="23"/>
      <c r="QVC181" s="23"/>
      <c r="QVD181" s="23"/>
      <c r="QVE181" s="23"/>
      <c r="QVF181" s="23"/>
      <c r="QVG181" s="23"/>
      <c r="QVH181" s="23"/>
      <c r="QVI181" s="23"/>
      <c r="QVJ181" s="23"/>
      <c r="QVK181" s="23"/>
      <c r="QVL181" s="23"/>
      <c r="QVM181" s="23"/>
      <c r="QVN181" s="23"/>
      <c r="QVO181" s="23"/>
      <c r="QVP181" s="23"/>
      <c r="QVQ181" s="23"/>
      <c r="QVR181" s="23"/>
      <c r="QVS181" s="23"/>
      <c r="QVT181" s="23"/>
      <c r="QVU181" s="23"/>
      <c r="QVV181" s="23"/>
      <c r="QVW181" s="23"/>
      <c r="QVX181" s="23"/>
      <c r="QVY181" s="23"/>
      <c r="QVZ181" s="23"/>
      <c r="QWA181" s="23"/>
      <c r="QWB181" s="23"/>
      <c r="QWC181" s="23"/>
      <c r="QWD181" s="23"/>
      <c r="QWE181" s="23"/>
      <c r="QWF181" s="23"/>
      <c r="QWG181" s="23"/>
      <c r="QWH181" s="23"/>
      <c r="QWI181" s="23"/>
      <c r="QWJ181" s="23"/>
      <c r="QWK181" s="23"/>
      <c r="QWL181" s="23"/>
      <c r="QWM181" s="23"/>
      <c r="QWN181" s="23"/>
      <c r="QWO181" s="23"/>
      <c r="QWP181" s="23"/>
      <c r="QWQ181" s="23"/>
      <c r="QWR181" s="23"/>
      <c r="QWS181" s="23"/>
      <c r="QWT181" s="23"/>
      <c r="QWU181" s="23"/>
      <c r="QWV181" s="23"/>
      <c r="QWW181" s="23"/>
      <c r="QWX181" s="23"/>
      <c r="QWY181" s="23"/>
      <c r="QWZ181" s="23"/>
      <c r="QXA181" s="23"/>
      <c r="QXB181" s="23"/>
      <c r="QXC181" s="23"/>
      <c r="QXD181" s="23"/>
      <c r="QXE181" s="23"/>
      <c r="QXF181" s="23"/>
      <c r="QXG181" s="23"/>
      <c r="QXH181" s="23"/>
      <c r="QXI181" s="23"/>
      <c r="QXJ181" s="23"/>
      <c r="QXK181" s="23"/>
      <c r="QXL181" s="23"/>
      <c r="QXM181" s="23"/>
      <c r="QXN181" s="23"/>
      <c r="QXO181" s="23"/>
      <c r="QXP181" s="23"/>
      <c r="QXQ181" s="23"/>
      <c r="QXR181" s="23"/>
      <c r="QXS181" s="23"/>
      <c r="QXT181" s="23"/>
      <c r="QXU181" s="23"/>
      <c r="QXV181" s="23"/>
      <c r="QXW181" s="23"/>
      <c r="QXX181" s="23"/>
      <c r="QXY181" s="23"/>
      <c r="QXZ181" s="23"/>
      <c r="QYA181" s="23"/>
      <c r="QYB181" s="23"/>
      <c r="QYC181" s="23"/>
      <c r="QYD181" s="23"/>
      <c r="QYE181" s="23"/>
      <c r="QYF181" s="23"/>
      <c r="QYG181" s="23"/>
      <c r="QYH181" s="23"/>
      <c r="QYI181" s="23"/>
      <c r="QYJ181" s="23"/>
      <c r="QYK181" s="23"/>
      <c r="QYL181" s="23"/>
      <c r="QYM181" s="23"/>
      <c r="QYN181" s="23"/>
      <c r="QYO181" s="23"/>
      <c r="QYP181" s="23"/>
      <c r="QYQ181" s="23"/>
      <c r="QYR181" s="23"/>
      <c r="QYS181" s="23"/>
      <c r="QYT181" s="23"/>
      <c r="QYU181" s="23"/>
      <c r="QYV181" s="23"/>
      <c r="QYW181" s="23"/>
      <c r="QYX181" s="23"/>
      <c r="QYY181" s="23"/>
      <c r="QYZ181" s="23"/>
      <c r="QZA181" s="23"/>
      <c r="QZB181" s="23"/>
      <c r="QZC181" s="23"/>
      <c r="QZD181" s="23"/>
      <c r="QZE181" s="23"/>
      <c r="QZF181" s="23"/>
      <c r="QZG181" s="23"/>
      <c r="QZH181" s="23"/>
      <c r="QZI181" s="23"/>
      <c r="QZJ181" s="23"/>
      <c r="QZK181" s="23"/>
      <c r="QZL181" s="23"/>
      <c r="QZM181" s="23"/>
      <c r="QZN181" s="23"/>
      <c r="QZO181" s="23"/>
      <c r="QZP181" s="23"/>
      <c r="QZQ181" s="23"/>
      <c r="QZR181" s="23"/>
      <c r="QZS181" s="23"/>
      <c r="QZT181" s="23"/>
      <c r="QZU181" s="23"/>
      <c r="QZV181" s="23"/>
      <c r="QZW181" s="23"/>
      <c r="QZX181" s="23"/>
      <c r="QZY181" s="23"/>
      <c r="QZZ181" s="23"/>
      <c r="RAA181" s="23"/>
      <c r="RAB181" s="23"/>
      <c r="RAC181" s="23"/>
      <c r="RAD181" s="23"/>
      <c r="RAE181" s="23"/>
      <c r="RAF181" s="23"/>
      <c r="RAG181" s="23"/>
      <c r="RAH181" s="23"/>
      <c r="RAI181" s="23"/>
      <c r="RAJ181" s="23"/>
      <c r="RAK181" s="23"/>
      <c r="RAL181" s="23"/>
      <c r="RAM181" s="23"/>
      <c r="RAN181" s="23"/>
      <c r="RAO181" s="23"/>
      <c r="RAP181" s="23"/>
      <c r="RAQ181" s="23"/>
      <c r="RAR181" s="23"/>
      <c r="RAS181" s="23"/>
      <c r="RAT181" s="23"/>
      <c r="RAU181" s="23"/>
      <c r="RAV181" s="23"/>
      <c r="RAW181" s="23"/>
      <c r="RAX181" s="23"/>
      <c r="RAY181" s="23"/>
      <c r="RAZ181" s="23"/>
      <c r="RBA181" s="23"/>
      <c r="RBB181" s="23"/>
      <c r="RBC181" s="23"/>
      <c r="RBD181" s="23"/>
      <c r="RBE181" s="23"/>
      <c r="RBF181" s="23"/>
      <c r="RBG181" s="23"/>
      <c r="RBH181" s="23"/>
      <c r="RBI181" s="23"/>
      <c r="RBJ181" s="23"/>
      <c r="RBK181" s="23"/>
      <c r="RBL181" s="23"/>
      <c r="RBM181" s="23"/>
      <c r="RBN181" s="23"/>
      <c r="RBO181" s="23"/>
      <c r="RBP181" s="23"/>
      <c r="RBQ181" s="23"/>
      <c r="RBR181" s="23"/>
      <c r="RBS181" s="23"/>
      <c r="RBT181" s="23"/>
      <c r="RBU181" s="23"/>
      <c r="RBV181" s="23"/>
      <c r="RBW181" s="23"/>
      <c r="RBX181" s="23"/>
      <c r="RBY181" s="23"/>
      <c r="RBZ181" s="23"/>
      <c r="RCA181" s="23"/>
      <c r="RCB181" s="23"/>
      <c r="RCC181" s="23"/>
      <c r="RCD181" s="23"/>
      <c r="RCE181" s="23"/>
      <c r="RCF181" s="23"/>
      <c r="RCG181" s="23"/>
      <c r="RCH181" s="23"/>
      <c r="RCI181" s="23"/>
      <c r="RCJ181" s="23"/>
      <c r="RCK181" s="23"/>
      <c r="RCL181" s="23"/>
      <c r="RCM181" s="23"/>
      <c r="RCN181" s="23"/>
      <c r="RCO181" s="23"/>
      <c r="RCP181" s="23"/>
      <c r="RCQ181" s="23"/>
      <c r="RCR181" s="23"/>
      <c r="RCS181" s="23"/>
      <c r="RCT181" s="23"/>
      <c r="RCU181" s="23"/>
      <c r="RCV181" s="23"/>
      <c r="RCW181" s="23"/>
      <c r="RCX181" s="23"/>
      <c r="RCY181" s="23"/>
      <c r="RCZ181" s="23"/>
      <c r="RDA181" s="23"/>
      <c r="RDB181" s="23"/>
      <c r="RDC181" s="23"/>
      <c r="RDD181" s="23"/>
      <c r="RDE181" s="23"/>
      <c r="RDF181" s="23"/>
      <c r="RDG181" s="23"/>
      <c r="RDH181" s="23"/>
      <c r="RDI181" s="23"/>
      <c r="RDJ181" s="23"/>
      <c r="RDK181" s="23"/>
      <c r="RDL181" s="23"/>
      <c r="RDM181" s="23"/>
      <c r="RDN181" s="23"/>
      <c r="RDO181" s="23"/>
      <c r="RDP181" s="23"/>
      <c r="RDQ181" s="23"/>
      <c r="RDR181" s="23"/>
      <c r="RDS181" s="23"/>
      <c r="RDT181" s="23"/>
      <c r="RDU181" s="23"/>
      <c r="RDV181" s="23"/>
      <c r="RDW181" s="23"/>
      <c r="RDX181" s="23"/>
      <c r="RDY181" s="23"/>
      <c r="RDZ181" s="23"/>
      <c r="REA181" s="23"/>
      <c r="REB181" s="23"/>
      <c r="REC181" s="23"/>
      <c r="RED181" s="23"/>
      <c r="REE181" s="23"/>
      <c r="REF181" s="23"/>
      <c r="REG181" s="23"/>
      <c r="REH181" s="23"/>
      <c r="REI181" s="23"/>
      <c r="REJ181" s="23"/>
      <c r="REK181" s="23"/>
      <c r="REL181" s="23"/>
      <c r="REM181" s="23"/>
      <c r="REN181" s="23"/>
      <c r="REO181" s="23"/>
      <c r="REP181" s="23"/>
      <c r="REQ181" s="23"/>
      <c r="RER181" s="23"/>
      <c r="RES181" s="23"/>
      <c r="RET181" s="23"/>
      <c r="REU181" s="23"/>
      <c r="REV181" s="23"/>
      <c r="REW181" s="23"/>
      <c r="REX181" s="23"/>
      <c r="REY181" s="23"/>
      <c r="REZ181" s="23"/>
      <c r="RFA181" s="23"/>
      <c r="RFB181" s="23"/>
      <c r="RFC181" s="23"/>
      <c r="RFD181" s="23"/>
      <c r="RFE181" s="23"/>
      <c r="RFF181" s="23"/>
      <c r="RFG181" s="23"/>
      <c r="RFH181" s="23"/>
      <c r="RFI181" s="23"/>
      <c r="RFJ181" s="23"/>
      <c r="RFK181" s="23"/>
      <c r="RFL181" s="23"/>
      <c r="RFM181" s="23"/>
      <c r="RFN181" s="23"/>
      <c r="RFO181" s="23"/>
      <c r="RFP181" s="23"/>
      <c r="RFQ181" s="23"/>
      <c r="RFR181" s="23"/>
      <c r="RFS181" s="23"/>
      <c r="RFT181" s="23"/>
      <c r="RFU181" s="23"/>
      <c r="RFV181" s="23"/>
      <c r="RFW181" s="23"/>
      <c r="RFX181" s="23"/>
      <c r="RFY181" s="23"/>
      <c r="RFZ181" s="23"/>
      <c r="RGA181" s="23"/>
      <c r="RGB181" s="23"/>
      <c r="RGC181" s="23"/>
      <c r="RGD181" s="23"/>
      <c r="RGE181" s="23"/>
      <c r="RGF181" s="23"/>
      <c r="RGG181" s="23"/>
      <c r="RGH181" s="23"/>
      <c r="RGI181" s="23"/>
      <c r="RGJ181" s="23"/>
      <c r="RGK181" s="23"/>
      <c r="RGL181" s="23"/>
      <c r="RGM181" s="23"/>
      <c r="RGN181" s="23"/>
      <c r="RGO181" s="23"/>
      <c r="RGP181" s="23"/>
      <c r="RGQ181" s="23"/>
      <c r="RGR181" s="23"/>
      <c r="RGS181" s="23"/>
      <c r="RGT181" s="23"/>
      <c r="RGU181" s="23"/>
      <c r="RGV181" s="23"/>
      <c r="RGW181" s="23"/>
      <c r="RGX181" s="23"/>
      <c r="RGY181" s="23"/>
      <c r="RGZ181" s="23"/>
      <c r="RHA181" s="23"/>
      <c r="RHB181" s="23"/>
      <c r="RHC181" s="23"/>
      <c r="RHD181" s="23"/>
      <c r="RHE181" s="23"/>
      <c r="RHF181" s="23"/>
      <c r="RHG181" s="23"/>
      <c r="RHH181" s="23"/>
      <c r="RHI181" s="23"/>
      <c r="RHJ181" s="23"/>
      <c r="RHK181" s="23"/>
      <c r="RHL181" s="23"/>
      <c r="RHM181" s="23"/>
      <c r="RHN181" s="23"/>
      <c r="RHO181" s="23"/>
      <c r="RHP181" s="23"/>
      <c r="RHQ181" s="23"/>
      <c r="RHR181" s="23"/>
      <c r="RHS181" s="23"/>
      <c r="RHT181" s="23"/>
      <c r="RHU181" s="23"/>
      <c r="RHV181" s="23"/>
      <c r="RHW181" s="23"/>
      <c r="RHX181" s="23"/>
      <c r="RHY181" s="23"/>
      <c r="RHZ181" s="23"/>
      <c r="RIA181" s="23"/>
      <c r="RIB181" s="23"/>
      <c r="RIC181" s="23"/>
      <c r="RID181" s="23"/>
      <c r="RIE181" s="23"/>
      <c r="RIF181" s="23"/>
      <c r="RIG181" s="23"/>
      <c r="RIH181" s="23"/>
      <c r="RII181" s="23"/>
      <c r="RIJ181" s="23"/>
      <c r="RIK181" s="23"/>
      <c r="RIL181" s="23"/>
      <c r="RIM181" s="23"/>
      <c r="RIN181" s="23"/>
      <c r="RIO181" s="23"/>
      <c r="RIP181" s="23"/>
      <c r="RIQ181" s="23"/>
      <c r="RIR181" s="23"/>
      <c r="RIS181" s="23"/>
      <c r="RIT181" s="23"/>
      <c r="RIU181" s="23"/>
      <c r="RIV181" s="23"/>
      <c r="RIW181" s="23"/>
      <c r="RIX181" s="23"/>
      <c r="RIY181" s="23"/>
      <c r="RIZ181" s="23"/>
      <c r="RJA181" s="23"/>
      <c r="RJB181" s="23"/>
      <c r="RJC181" s="23"/>
      <c r="RJD181" s="23"/>
      <c r="RJE181" s="23"/>
      <c r="RJF181" s="23"/>
      <c r="RJG181" s="23"/>
      <c r="RJH181" s="23"/>
      <c r="RJI181" s="23"/>
      <c r="RJJ181" s="23"/>
      <c r="RJK181" s="23"/>
      <c r="RJL181" s="23"/>
      <c r="RJM181" s="23"/>
      <c r="RJN181" s="23"/>
      <c r="RJO181" s="23"/>
      <c r="RJP181" s="23"/>
      <c r="RJQ181" s="23"/>
      <c r="RJR181" s="23"/>
      <c r="RJS181" s="23"/>
      <c r="RJT181" s="23"/>
      <c r="RJU181" s="23"/>
      <c r="RJV181" s="23"/>
      <c r="RJW181" s="23"/>
      <c r="RJX181" s="23"/>
      <c r="RJY181" s="23"/>
      <c r="RJZ181" s="23"/>
      <c r="RKA181" s="23"/>
      <c r="RKB181" s="23"/>
      <c r="RKC181" s="23"/>
      <c r="RKD181" s="23"/>
      <c r="RKE181" s="23"/>
      <c r="RKF181" s="23"/>
      <c r="RKG181" s="23"/>
      <c r="RKH181" s="23"/>
      <c r="RKI181" s="23"/>
      <c r="RKJ181" s="23"/>
      <c r="RKK181" s="23"/>
      <c r="RKL181" s="23"/>
      <c r="RKM181" s="23"/>
      <c r="RKN181" s="23"/>
      <c r="RKO181" s="23"/>
      <c r="RKP181" s="23"/>
      <c r="RKQ181" s="23"/>
      <c r="RKR181" s="23"/>
      <c r="RKS181" s="23"/>
      <c r="RKT181" s="23"/>
      <c r="RKU181" s="23"/>
      <c r="RKV181" s="23"/>
      <c r="RKW181" s="23"/>
      <c r="RKX181" s="23"/>
      <c r="RKY181" s="23"/>
      <c r="RKZ181" s="23"/>
      <c r="RLA181" s="23"/>
      <c r="RLB181" s="23"/>
      <c r="RLC181" s="23"/>
      <c r="RLD181" s="23"/>
      <c r="RLE181" s="23"/>
      <c r="RLF181" s="23"/>
      <c r="RLG181" s="23"/>
      <c r="RLH181" s="23"/>
      <c r="RLI181" s="23"/>
      <c r="RLJ181" s="23"/>
      <c r="RLK181" s="23"/>
      <c r="RLL181" s="23"/>
      <c r="RLM181" s="23"/>
      <c r="RLN181" s="23"/>
      <c r="RLO181" s="23"/>
      <c r="RLP181" s="23"/>
      <c r="RLQ181" s="23"/>
      <c r="RLR181" s="23"/>
      <c r="RLS181" s="23"/>
      <c r="RLT181" s="23"/>
      <c r="RLU181" s="23"/>
      <c r="RLV181" s="23"/>
      <c r="RLW181" s="23"/>
      <c r="RLX181" s="23"/>
      <c r="RLY181" s="23"/>
      <c r="RLZ181" s="23"/>
      <c r="RMA181" s="23"/>
      <c r="RMB181" s="23"/>
      <c r="RMC181" s="23"/>
      <c r="RMD181" s="23"/>
      <c r="RME181" s="23"/>
      <c r="RMF181" s="23"/>
      <c r="RMG181" s="23"/>
      <c r="RMH181" s="23"/>
      <c r="RMI181" s="23"/>
      <c r="RMJ181" s="23"/>
      <c r="RMK181" s="23"/>
      <c r="RML181" s="23"/>
      <c r="RMM181" s="23"/>
      <c r="RMN181" s="23"/>
      <c r="RMO181" s="23"/>
      <c r="RMP181" s="23"/>
      <c r="RMQ181" s="23"/>
      <c r="RMR181" s="23"/>
      <c r="RMS181" s="23"/>
      <c r="RMT181" s="23"/>
      <c r="RMU181" s="23"/>
      <c r="RMV181" s="23"/>
      <c r="RMW181" s="23"/>
      <c r="RMX181" s="23"/>
      <c r="RMY181" s="23"/>
      <c r="RMZ181" s="23"/>
      <c r="RNA181" s="23"/>
      <c r="RNB181" s="23"/>
      <c r="RNC181" s="23"/>
      <c r="RND181" s="23"/>
      <c r="RNE181" s="23"/>
      <c r="RNF181" s="23"/>
      <c r="RNG181" s="23"/>
      <c r="RNH181" s="23"/>
      <c r="RNI181" s="23"/>
      <c r="RNJ181" s="23"/>
      <c r="RNK181" s="23"/>
      <c r="RNL181" s="23"/>
      <c r="RNM181" s="23"/>
      <c r="RNN181" s="23"/>
      <c r="RNO181" s="23"/>
      <c r="RNP181" s="23"/>
      <c r="RNQ181" s="23"/>
      <c r="RNR181" s="23"/>
      <c r="RNS181" s="23"/>
      <c r="RNT181" s="23"/>
      <c r="RNU181" s="23"/>
      <c r="RNV181" s="23"/>
      <c r="RNW181" s="23"/>
      <c r="RNX181" s="23"/>
      <c r="RNY181" s="23"/>
      <c r="RNZ181" s="23"/>
      <c r="ROA181" s="23"/>
      <c r="ROB181" s="23"/>
      <c r="ROC181" s="23"/>
      <c r="ROD181" s="23"/>
      <c r="ROE181" s="23"/>
      <c r="ROF181" s="23"/>
      <c r="ROG181" s="23"/>
      <c r="ROH181" s="23"/>
      <c r="ROI181" s="23"/>
      <c r="ROJ181" s="23"/>
      <c r="ROK181" s="23"/>
      <c r="ROL181" s="23"/>
      <c r="ROM181" s="23"/>
      <c r="RON181" s="23"/>
      <c r="ROO181" s="23"/>
      <c r="ROP181" s="23"/>
      <c r="ROQ181" s="23"/>
      <c r="ROR181" s="23"/>
      <c r="ROS181" s="23"/>
      <c r="ROT181" s="23"/>
      <c r="ROU181" s="23"/>
      <c r="ROV181" s="23"/>
      <c r="ROW181" s="23"/>
      <c r="ROX181" s="23"/>
      <c r="ROY181" s="23"/>
      <c r="ROZ181" s="23"/>
      <c r="RPA181" s="23"/>
      <c r="RPB181" s="23"/>
      <c r="RPC181" s="23"/>
      <c r="RPD181" s="23"/>
      <c r="RPE181" s="23"/>
      <c r="RPF181" s="23"/>
      <c r="RPG181" s="23"/>
      <c r="RPH181" s="23"/>
      <c r="RPI181" s="23"/>
      <c r="RPJ181" s="23"/>
      <c r="RPK181" s="23"/>
      <c r="RPL181" s="23"/>
      <c r="RPM181" s="23"/>
      <c r="RPN181" s="23"/>
      <c r="RPO181" s="23"/>
      <c r="RPP181" s="23"/>
      <c r="RPQ181" s="23"/>
      <c r="RPR181" s="23"/>
      <c r="RPS181" s="23"/>
      <c r="RPT181" s="23"/>
      <c r="RPU181" s="23"/>
      <c r="RPV181" s="23"/>
      <c r="RPW181" s="23"/>
      <c r="RPX181" s="23"/>
      <c r="RPY181" s="23"/>
      <c r="RPZ181" s="23"/>
      <c r="RQA181" s="23"/>
      <c r="RQB181" s="23"/>
      <c r="RQC181" s="23"/>
      <c r="RQD181" s="23"/>
      <c r="RQE181" s="23"/>
      <c r="RQF181" s="23"/>
      <c r="RQG181" s="23"/>
      <c r="RQH181" s="23"/>
      <c r="RQI181" s="23"/>
      <c r="RQJ181" s="23"/>
      <c r="RQK181" s="23"/>
      <c r="RQL181" s="23"/>
      <c r="RQM181" s="23"/>
      <c r="RQN181" s="23"/>
      <c r="RQO181" s="23"/>
      <c r="RQP181" s="23"/>
      <c r="RQQ181" s="23"/>
      <c r="RQR181" s="23"/>
      <c r="RQS181" s="23"/>
      <c r="RQT181" s="23"/>
      <c r="RQU181" s="23"/>
      <c r="RQV181" s="23"/>
      <c r="RQW181" s="23"/>
      <c r="RQX181" s="23"/>
      <c r="RQY181" s="23"/>
      <c r="RQZ181" s="23"/>
      <c r="RRA181" s="23"/>
      <c r="RRB181" s="23"/>
      <c r="RRC181" s="23"/>
      <c r="RRD181" s="23"/>
      <c r="RRE181" s="23"/>
      <c r="RRF181" s="23"/>
      <c r="RRG181" s="23"/>
      <c r="RRH181" s="23"/>
      <c r="RRI181" s="23"/>
      <c r="RRJ181" s="23"/>
      <c r="RRK181" s="23"/>
      <c r="RRL181" s="23"/>
      <c r="RRM181" s="23"/>
      <c r="RRN181" s="23"/>
      <c r="RRO181" s="23"/>
      <c r="RRP181" s="23"/>
      <c r="RRQ181" s="23"/>
      <c r="RRR181" s="23"/>
      <c r="RRS181" s="23"/>
      <c r="RRT181" s="23"/>
      <c r="RRU181" s="23"/>
      <c r="RRV181" s="23"/>
      <c r="RRW181" s="23"/>
      <c r="RRX181" s="23"/>
      <c r="RRY181" s="23"/>
      <c r="RRZ181" s="23"/>
      <c r="RSA181" s="23"/>
      <c r="RSB181" s="23"/>
      <c r="RSC181" s="23"/>
      <c r="RSD181" s="23"/>
      <c r="RSE181" s="23"/>
      <c r="RSF181" s="23"/>
      <c r="RSG181" s="23"/>
      <c r="RSH181" s="23"/>
      <c r="RSI181" s="23"/>
      <c r="RSJ181" s="23"/>
      <c r="RSK181" s="23"/>
      <c r="RSL181" s="23"/>
      <c r="RSM181" s="23"/>
      <c r="RSN181" s="23"/>
      <c r="RSO181" s="23"/>
      <c r="RSP181" s="23"/>
      <c r="RSQ181" s="23"/>
      <c r="RSR181" s="23"/>
      <c r="RSS181" s="23"/>
      <c r="RST181" s="23"/>
      <c r="RSU181" s="23"/>
      <c r="RSV181" s="23"/>
      <c r="RSW181" s="23"/>
      <c r="RSX181" s="23"/>
      <c r="RSY181" s="23"/>
      <c r="RSZ181" s="23"/>
      <c r="RTA181" s="23"/>
      <c r="RTB181" s="23"/>
      <c r="RTC181" s="23"/>
      <c r="RTD181" s="23"/>
      <c r="RTE181" s="23"/>
      <c r="RTF181" s="23"/>
      <c r="RTG181" s="23"/>
      <c r="RTH181" s="23"/>
      <c r="RTI181" s="23"/>
      <c r="RTJ181" s="23"/>
      <c r="RTK181" s="23"/>
      <c r="RTL181" s="23"/>
      <c r="RTM181" s="23"/>
      <c r="RTN181" s="23"/>
      <c r="RTO181" s="23"/>
      <c r="RTP181" s="23"/>
      <c r="RTQ181" s="23"/>
      <c r="RTR181" s="23"/>
      <c r="RTS181" s="23"/>
      <c r="RTT181" s="23"/>
      <c r="RTU181" s="23"/>
      <c r="RTV181" s="23"/>
      <c r="RTW181" s="23"/>
      <c r="RTX181" s="23"/>
      <c r="RTY181" s="23"/>
      <c r="RTZ181" s="23"/>
      <c r="RUA181" s="23"/>
      <c r="RUB181" s="23"/>
      <c r="RUC181" s="23"/>
      <c r="RUD181" s="23"/>
      <c r="RUE181" s="23"/>
      <c r="RUF181" s="23"/>
      <c r="RUG181" s="23"/>
      <c r="RUH181" s="23"/>
      <c r="RUI181" s="23"/>
      <c r="RUJ181" s="23"/>
      <c r="RUK181" s="23"/>
      <c r="RUL181" s="23"/>
      <c r="RUM181" s="23"/>
      <c r="RUN181" s="23"/>
      <c r="RUO181" s="23"/>
      <c r="RUP181" s="23"/>
      <c r="RUQ181" s="23"/>
      <c r="RUR181" s="23"/>
      <c r="RUS181" s="23"/>
      <c r="RUT181" s="23"/>
      <c r="RUU181" s="23"/>
      <c r="RUV181" s="23"/>
      <c r="RUW181" s="23"/>
      <c r="RUX181" s="23"/>
      <c r="RUY181" s="23"/>
      <c r="RUZ181" s="23"/>
      <c r="RVA181" s="23"/>
      <c r="RVB181" s="23"/>
      <c r="RVC181" s="23"/>
      <c r="RVD181" s="23"/>
      <c r="RVE181" s="23"/>
      <c r="RVF181" s="23"/>
      <c r="RVG181" s="23"/>
      <c r="RVH181" s="23"/>
      <c r="RVI181" s="23"/>
      <c r="RVJ181" s="23"/>
      <c r="RVK181" s="23"/>
      <c r="RVL181" s="23"/>
      <c r="RVM181" s="23"/>
      <c r="RVN181" s="23"/>
      <c r="RVO181" s="23"/>
      <c r="RVP181" s="23"/>
      <c r="RVQ181" s="23"/>
      <c r="RVR181" s="23"/>
      <c r="RVS181" s="23"/>
      <c r="RVT181" s="23"/>
      <c r="RVU181" s="23"/>
      <c r="RVV181" s="23"/>
      <c r="RVW181" s="23"/>
      <c r="RVX181" s="23"/>
      <c r="RVY181" s="23"/>
      <c r="RVZ181" s="23"/>
      <c r="RWA181" s="23"/>
      <c r="RWB181" s="23"/>
      <c r="RWC181" s="23"/>
      <c r="RWD181" s="23"/>
      <c r="RWE181" s="23"/>
      <c r="RWF181" s="23"/>
      <c r="RWG181" s="23"/>
      <c r="RWH181" s="23"/>
      <c r="RWI181" s="23"/>
      <c r="RWJ181" s="23"/>
      <c r="RWK181" s="23"/>
      <c r="RWL181" s="23"/>
      <c r="RWM181" s="23"/>
      <c r="RWN181" s="23"/>
      <c r="RWO181" s="23"/>
      <c r="RWP181" s="23"/>
      <c r="RWQ181" s="23"/>
      <c r="RWR181" s="23"/>
      <c r="RWS181" s="23"/>
      <c r="RWT181" s="23"/>
      <c r="RWU181" s="23"/>
      <c r="RWV181" s="23"/>
      <c r="RWW181" s="23"/>
      <c r="RWX181" s="23"/>
      <c r="RWY181" s="23"/>
      <c r="RWZ181" s="23"/>
      <c r="RXA181" s="23"/>
      <c r="RXB181" s="23"/>
      <c r="RXC181" s="23"/>
      <c r="RXD181" s="23"/>
      <c r="RXE181" s="23"/>
      <c r="RXF181" s="23"/>
      <c r="RXG181" s="23"/>
      <c r="RXH181" s="23"/>
      <c r="RXI181" s="23"/>
      <c r="RXJ181" s="23"/>
      <c r="RXK181" s="23"/>
      <c r="RXL181" s="23"/>
      <c r="RXM181" s="23"/>
      <c r="RXN181" s="23"/>
      <c r="RXO181" s="23"/>
      <c r="RXP181" s="23"/>
      <c r="RXQ181" s="23"/>
      <c r="RXR181" s="23"/>
      <c r="RXS181" s="23"/>
      <c r="RXT181" s="23"/>
      <c r="RXU181" s="23"/>
      <c r="RXV181" s="23"/>
      <c r="RXW181" s="23"/>
      <c r="RXX181" s="23"/>
      <c r="RXY181" s="23"/>
      <c r="RXZ181" s="23"/>
      <c r="RYA181" s="23"/>
      <c r="RYB181" s="23"/>
      <c r="RYC181" s="23"/>
      <c r="RYD181" s="23"/>
      <c r="RYE181" s="23"/>
      <c r="RYF181" s="23"/>
      <c r="RYG181" s="23"/>
      <c r="RYH181" s="23"/>
      <c r="RYI181" s="23"/>
      <c r="RYJ181" s="23"/>
      <c r="RYK181" s="23"/>
      <c r="RYL181" s="23"/>
      <c r="RYM181" s="23"/>
      <c r="RYN181" s="23"/>
      <c r="RYO181" s="23"/>
      <c r="RYP181" s="23"/>
      <c r="RYQ181" s="23"/>
      <c r="RYR181" s="23"/>
      <c r="RYS181" s="23"/>
      <c r="RYT181" s="23"/>
      <c r="RYU181" s="23"/>
      <c r="RYV181" s="23"/>
      <c r="RYW181" s="23"/>
      <c r="RYX181" s="23"/>
      <c r="RYY181" s="23"/>
      <c r="RYZ181" s="23"/>
      <c r="RZA181" s="23"/>
      <c r="RZB181" s="23"/>
      <c r="RZC181" s="23"/>
      <c r="RZD181" s="23"/>
      <c r="RZE181" s="23"/>
      <c r="RZF181" s="23"/>
      <c r="RZG181" s="23"/>
      <c r="RZH181" s="23"/>
      <c r="RZI181" s="23"/>
      <c r="RZJ181" s="23"/>
      <c r="RZK181" s="23"/>
      <c r="RZL181" s="23"/>
      <c r="RZM181" s="23"/>
      <c r="RZN181" s="23"/>
      <c r="RZO181" s="23"/>
      <c r="RZP181" s="23"/>
      <c r="RZQ181" s="23"/>
      <c r="RZR181" s="23"/>
      <c r="RZS181" s="23"/>
      <c r="RZT181" s="23"/>
      <c r="RZU181" s="23"/>
      <c r="RZV181" s="23"/>
      <c r="RZW181" s="23"/>
      <c r="RZX181" s="23"/>
      <c r="RZY181" s="23"/>
      <c r="RZZ181" s="23"/>
      <c r="SAA181" s="23"/>
      <c r="SAB181" s="23"/>
      <c r="SAC181" s="23"/>
      <c r="SAD181" s="23"/>
      <c r="SAE181" s="23"/>
      <c r="SAF181" s="23"/>
      <c r="SAG181" s="23"/>
      <c r="SAH181" s="23"/>
      <c r="SAI181" s="23"/>
      <c r="SAJ181" s="23"/>
      <c r="SAK181" s="23"/>
      <c r="SAL181" s="23"/>
      <c r="SAM181" s="23"/>
      <c r="SAN181" s="23"/>
      <c r="SAO181" s="23"/>
      <c r="SAP181" s="23"/>
      <c r="SAQ181" s="23"/>
      <c r="SAR181" s="23"/>
      <c r="SAS181" s="23"/>
      <c r="SAT181" s="23"/>
      <c r="SAU181" s="23"/>
      <c r="SAV181" s="23"/>
      <c r="SAW181" s="23"/>
      <c r="SAX181" s="23"/>
      <c r="SAY181" s="23"/>
      <c r="SAZ181" s="23"/>
      <c r="SBA181" s="23"/>
      <c r="SBB181" s="23"/>
      <c r="SBC181" s="23"/>
      <c r="SBD181" s="23"/>
      <c r="SBE181" s="23"/>
      <c r="SBF181" s="23"/>
      <c r="SBG181" s="23"/>
      <c r="SBH181" s="23"/>
      <c r="SBI181" s="23"/>
      <c r="SBJ181" s="23"/>
      <c r="SBK181" s="23"/>
      <c r="SBL181" s="23"/>
      <c r="SBM181" s="23"/>
      <c r="SBN181" s="23"/>
      <c r="SBO181" s="23"/>
      <c r="SBP181" s="23"/>
      <c r="SBQ181" s="23"/>
      <c r="SBR181" s="23"/>
      <c r="SBS181" s="23"/>
      <c r="SBT181" s="23"/>
      <c r="SBU181" s="23"/>
      <c r="SBV181" s="23"/>
      <c r="SBW181" s="23"/>
      <c r="SBX181" s="23"/>
      <c r="SBY181" s="23"/>
      <c r="SBZ181" s="23"/>
      <c r="SCA181" s="23"/>
      <c r="SCB181" s="23"/>
      <c r="SCC181" s="23"/>
      <c r="SCD181" s="23"/>
      <c r="SCE181" s="23"/>
      <c r="SCF181" s="23"/>
      <c r="SCG181" s="23"/>
      <c r="SCH181" s="23"/>
      <c r="SCI181" s="23"/>
      <c r="SCJ181" s="23"/>
      <c r="SCK181" s="23"/>
      <c r="SCL181" s="23"/>
      <c r="SCM181" s="23"/>
      <c r="SCN181" s="23"/>
      <c r="SCO181" s="23"/>
      <c r="SCP181" s="23"/>
      <c r="SCQ181" s="23"/>
      <c r="SCR181" s="23"/>
      <c r="SCS181" s="23"/>
      <c r="SCT181" s="23"/>
      <c r="SCU181" s="23"/>
      <c r="SCV181" s="23"/>
      <c r="SCW181" s="23"/>
      <c r="SCX181" s="23"/>
      <c r="SCY181" s="23"/>
      <c r="SCZ181" s="23"/>
      <c r="SDA181" s="23"/>
      <c r="SDB181" s="23"/>
      <c r="SDC181" s="23"/>
      <c r="SDD181" s="23"/>
      <c r="SDE181" s="23"/>
      <c r="SDF181" s="23"/>
      <c r="SDG181" s="23"/>
      <c r="SDH181" s="23"/>
      <c r="SDI181" s="23"/>
      <c r="SDJ181" s="23"/>
      <c r="SDK181" s="23"/>
      <c r="SDL181" s="23"/>
      <c r="SDM181" s="23"/>
      <c r="SDN181" s="23"/>
      <c r="SDO181" s="23"/>
      <c r="SDP181" s="23"/>
      <c r="SDQ181" s="23"/>
      <c r="SDR181" s="23"/>
      <c r="SDS181" s="23"/>
      <c r="SDT181" s="23"/>
      <c r="SDU181" s="23"/>
      <c r="SDV181" s="23"/>
      <c r="SDW181" s="23"/>
      <c r="SDX181" s="23"/>
      <c r="SDY181" s="23"/>
      <c r="SDZ181" s="23"/>
      <c r="SEA181" s="23"/>
      <c r="SEB181" s="23"/>
      <c r="SEC181" s="23"/>
      <c r="SED181" s="23"/>
      <c r="SEE181" s="23"/>
      <c r="SEF181" s="23"/>
      <c r="SEG181" s="23"/>
      <c r="SEH181" s="23"/>
      <c r="SEI181" s="23"/>
      <c r="SEJ181" s="23"/>
      <c r="SEK181" s="23"/>
      <c r="SEL181" s="23"/>
      <c r="SEM181" s="23"/>
      <c r="SEN181" s="23"/>
      <c r="SEO181" s="23"/>
      <c r="SEP181" s="23"/>
      <c r="SEQ181" s="23"/>
      <c r="SER181" s="23"/>
      <c r="SES181" s="23"/>
      <c r="SET181" s="23"/>
      <c r="SEU181" s="23"/>
      <c r="SEV181" s="23"/>
      <c r="SEW181" s="23"/>
      <c r="SEX181" s="23"/>
      <c r="SEY181" s="23"/>
      <c r="SEZ181" s="23"/>
      <c r="SFA181" s="23"/>
      <c r="SFB181" s="23"/>
      <c r="SFC181" s="23"/>
      <c r="SFD181" s="23"/>
      <c r="SFE181" s="23"/>
      <c r="SFF181" s="23"/>
      <c r="SFG181" s="23"/>
      <c r="SFH181" s="23"/>
      <c r="SFI181" s="23"/>
      <c r="SFJ181" s="23"/>
      <c r="SFK181" s="23"/>
      <c r="SFL181" s="23"/>
      <c r="SFM181" s="23"/>
      <c r="SFN181" s="23"/>
      <c r="SFO181" s="23"/>
      <c r="SFP181" s="23"/>
      <c r="SFQ181" s="23"/>
      <c r="SFR181" s="23"/>
      <c r="SFS181" s="23"/>
      <c r="SFT181" s="23"/>
      <c r="SFU181" s="23"/>
      <c r="SFV181" s="23"/>
      <c r="SFW181" s="23"/>
      <c r="SFX181" s="23"/>
      <c r="SFY181" s="23"/>
      <c r="SFZ181" s="23"/>
      <c r="SGA181" s="23"/>
      <c r="SGB181" s="23"/>
      <c r="SGC181" s="23"/>
      <c r="SGD181" s="23"/>
      <c r="SGE181" s="23"/>
      <c r="SGF181" s="23"/>
      <c r="SGG181" s="23"/>
      <c r="SGH181" s="23"/>
      <c r="SGI181" s="23"/>
      <c r="SGJ181" s="23"/>
      <c r="SGK181" s="23"/>
      <c r="SGL181" s="23"/>
      <c r="SGM181" s="23"/>
      <c r="SGN181" s="23"/>
      <c r="SGO181" s="23"/>
      <c r="SGP181" s="23"/>
      <c r="SGQ181" s="23"/>
      <c r="SGR181" s="23"/>
      <c r="SGS181" s="23"/>
      <c r="SGT181" s="23"/>
      <c r="SGU181" s="23"/>
      <c r="SGV181" s="23"/>
      <c r="SGW181" s="23"/>
      <c r="SGX181" s="23"/>
      <c r="SGY181" s="23"/>
      <c r="SGZ181" s="23"/>
      <c r="SHA181" s="23"/>
      <c r="SHB181" s="23"/>
      <c r="SHC181" s="23"/>
      <c r="SHD181" s="23"/>
      <c r="SHE181" s="23"/>
      <c r="SHF181" s="23"/>
      <c r="SHG181" s="23"/>
      <c r="SHH181" s="23"/>
      <c r="SHI181" s="23"/>
      <c r="SHJ181" s="23"/>
      <c r="SHK181" s="23"/>
      <c r="SHL181" s="23"/>
      <c r="SHM181" s="23"/>
      <c r="SHN181" s="23"/>
      <c r="SHO181" s="23"/>
      <c r="SHP181" s="23"/>
      <c r="SHQ181" s="23"/>
      <c r="SHR181" s="23"/>
      <c r="SHS181" s="23"/>
      <c r="SHT181" s="23"/>
      <c r="SHU181" s="23"/>
      <c r="SHV181" s="23"/>
      <c r="SHW181" s="23"/>
      <c r="SHX181" s="23"/>
      <c r="SHY181" s="23"/>
      <c r="SHZ181" s="23"/>
      <c r="SIA181" s="23"/>
      <c r="SIB181" s="23"/>
      <c r="SIC181" s="23"/>
      <c r="SID181" s="23"/>
      <c r="SIE181" s="23"/>
      <c r="SIF181" s="23"/>
      <c r="SIG181" s="23"/>
      <c r="SIH181" s="23"/>
      <c r="SII181" s="23"/>
      <c r="SIJ181" s="23"/>
      <c r="SIK181" s="23"/>
      <c r="SIL181" s="23"/>
      <c r="SIM181" s="23"/>
      <c r="SIN181" s="23"/>
      <c r="SIO181" s="23"/>
      <c r="SIP181" s="23"/>
      <c r="SIQ181" s="23"/>
      <c r="SIR181" s="23"/>
      <c r="SIS181" s="23"/>
      <c r="SIT181" s="23"/>
      <c r="SIU181" s="23"/>
      <c r="SIV181" s="23"/>
      <c r="SIW181" s="23"/>
      <c r="SIX181" s="23"/>
      <c r="SIY181" s="23"/>
      <c r="SIZ181" s="23"/>
      <c r="SJA181" s="23"/>
      <c r="SJB181" s="23"/>
      <c r="SJC181" s="23"/>
      <c r="SJD181" s="23"/>
      <c r="SJE181" s="23"/>
      <c r="SJF181" s="23"/>
      <c r="SJG181" s="23"/>
      <c r="SJH181" s="23"/>
      <c r="SJI181" s="23"/>
      <c r="SJJ181" s="23"/>
      <c r="SJK181" s="23"/>
      <c r="SJL181" s="23"/>
      <c r="SJM181" s="23"/>
      <c r="SJN181" s="23"/>
      <c r="SJO181" s="23"/>
      <c r="SJP181" s="23"/>
      <c r="SJQ181" s="23"/>
      <c r="SJR181" s="23"/>
      <c r="SJS181" s="23"/>
      <c r="SJT181" s="23"/>
      <c r="SJU181" s="23"/>
      <c r="SJV181" s="23"/>
      <c r="SJW181" s="23"/>
      <c r="SJX181" s="23"/>
      <c r="SJY181" s="23"/>
      <c r="SJZ181" s="23"/>
      <c r="SKA181" s="23"/>
      <c r="SKB181" s="23"/>
      <c r="SKC181" s="23"/>
      <c r="SKD181" s="23"/>
      <c r="SKE181" s="23"/>
      <c r="SKF181" s="23"/>
      <c r="SKG181" s="23"/>
      <c r="SKH181" s="23"/>
      <c r="SKI181" s="23"/>
      <c r="SKJ181" s="23"/>
      <c r="SKK181" s="23"/>
      <c r="SKL181" s="23"/>
      <c r="SKM181" s="23"/>
      <c r="SKN181" s="23"/>
      <c r="SKO181" s="23"/>
      <c r="SKP181" s="23"/>
      <c r="SKQ181" s="23"/>
      <c r="SKR181" s="23"/>
      <c r="SKS181" s="23"/>
      <c r="SKT181" s="23"/>
      <c r="SKU181" s="23"/>
      <c r="SKV181" s="23"/>
      <c r="SKW181" s="23"/>
      <c r="SKX181" s="23"/>
      <c r="SKY181" s="23"/>
      <c r="SKZ181" s="23"/>
      <c r="SLA181" s="23"/>
      <c r="SLB181" s="23"/>
      <c r="SLC181" s="23"/>
      <c r="SLD181" s="23"/>
      <c r="SLE181" s="23"/>
      <c r="SLF181" s="23"/>
      <c r="SLG181" s="23"/>
      <c r="SLH181" s="23"/>
      <c r="SLI181" s="23"/>
      <c r="SLJ181" s="23"/>
      <c r="SLK181" s="23"/>
      <c r="SLL181" s="23"/>
      <c r="SLM181" s="23"/>
      <c r="SLN181" s="23"/>
      <c r="SLO181" s="23"/>
      <c r="SLP181" s="23"/>
      <c r="SLQ181" s="23"/>
      <c r="SLR181" s="23"/>
      <c r="SLS181" s="23"/>
      <c r="SLT181" s="23"/>
      <c r="SLU181" s="23"/>
      <c r="SLV181" s="23"/>
      <c r="SLW181" s="23"/>
      <c r="SLX181" s="23"/>
      <c r="SLY181" s="23"/>
      <c r="SLZ181" s="23"/>
      <c r="SMA181" s="23"/>
      <c r="SMB181" s="23"/>
      <c r="SMC181" s="23"/>
      <c r="SMD181" s="23"/>
      <c r="SME181" s="23"/>
      <c r="SMF181" s="23"/>
      <c r="SMG181" s="23"/>
      <c r="SMH181" s="23"/>
      <c r="SMI181" s="23"/>
      <c r="SMJ181" s="23"/>
      <c r="SMK181" s="23"/>
      <c r="SML181" s="23"/>
      <c r="SMM181" s="23"/>
      <c r="SMN181" s="23"/>
      <c r="SMO181" s="23"/>
      <c r="SMP181" s="23"/>
      <c r="SMQ181" s="23"/>
      <c r="SMR181" s="23"/>
      <c r="SMS181" s="23"/>
      <c r="SMT181" s="23"/>
      <c r="SMU181" s="23"/>
      <c r="SMV181" s="23"/>
      <c r="SMW181" s="23"/>
      <c r="SMX181" s="23"/>
      <c r="SMY181" s="23"/>
      <c r="SMZ181" s="23"/>
      <c r="SNA181" s="23"/>
      <c r="SNB181" s="23"/>
      <c r="SNC181" s="23"/>
      <c r="SND181" s="23"/>
      <c r="SNE181" s="23"/>
      <c r="SNF181" s="23"/>
      <c r="SNG181" s="23"/>
      <c r="SNH181" s="23"/>
      <c r="SNI181" s="23"/>
      <c r="SNJ181" s="23"/>
      <c r="SNK181" s="23"/>
      <c r="SNL181" s="23"/>
      <c r="SNM181" s="23"/>
      <c r="SNN181" s="23"/>
      <c r="SNO181" s="23"/>
      <c r="SNP181" s="23"/>
      <c r="SNQ181" s="23"/>
      <c r="SNR181" s="23"/>
      <c r="SNS181" s="23"/>
      <c r="SNT181" s="23"/>
      <c r="SNU181" s="23"/>
      <c r="SNV181" s="23"/>
      <c r="SNW181" s="23"/>
      <c r="SNX181" s="23"/>
      <c r="SNY181" s="23"/>
      <c r="SNZ181" s="23"/>
      <c r="SOA181" s="23"/>
      <c r="SOB181" s="23"/>
      <c r="SOC181" s="23"/>
      <c r="SOD181" s="23"/>
      <c r="SOE181" s="23"/>
      <c r="SOF181" s="23"/>
      <c r="SOG181" s="23"/>
      <c r="SOH181" s="23"/>
      <c r="SOI181" s="23"/>
      <c r="SOJ181" s="23"/>
      <c r="SOK181" s="23"/>
      <c r="SOL181" s="23"/>
      <c r="SOM181" s="23"/>
      <c r="SON181" s="23"/>
      <c r="SOO181" s="23"/>
      <c r="SOP181" s="23"/>
      <c r="SOQ181" s="23"/>
      <c r="SOR181" s="23"/>
      <c r="SOS181" s="23"/>
      <c r="SOT181" s="23"/>
      <c r="SOU181" s="23"/>
      <c r="SOV181" s="23"/>
      <c r="SOW181" s="23"/>
      <c r="SOX181" s="23"/>
      <c r="SOY181" s="23"/>
      <c r="SOZ181" s="23"/>
      <c r="SPA181" s="23"/>
      <c r="SPB181" s="23"/>
      <c r="SPC181" s="23"/>
      <c r="SPD181" s="23"/>
      <c r="SPE181" s="23"/>
      <c r="SPF181" s="23"/>
      <c r="SPG181" s="23"/>
      <c r="SPH181" s="23"/>
      <c r="SPI181" s="23"/>
      <c r="SPJ181" s="23"/>
      <c r="SPK181" s="23"/>
      <c r="SPL181" s="23"/>
      <c r="SPM181" s="23"/>
      <c r="SPN181" s="23"/>
      <c r="SPO181" s="23"/>
      <c r="SPP181" s="23"/>
      <c r="SPQ181" s="23"/>
      <c r="SPR181" s="23"/>
      <c r="SPS181" s="23"/>
      <c r="SPT181" s="23"/>
      <c r="SPU181" s="23"/>
      <c r="SPV181" s="23"/>
      <c r="SPW181" s="23"/>
      <c r="SPX181" s="23"/>
      <c r="SPY181" s="23"/>
      <c r="SPZ181" s="23"/>
      <c r="SQA181" s="23"/>
      <c r="SQB181" s="23"/>
      <c r="SQC181" s="23"/>
      <c r="SQD181" s="23"/>
      <c r="SQE181" s="23"/>
      <c r="SQF181" s="23"/>
      <c r="SQG181" s="23"/>
      <c r="SQH181" s="23"/>
      <c r="SQI181" s="23"/>
      <c r="SQJ181" s="23"/>
      <c r="SQK181" s="23"/>
      <c r="SQL181" s="23"/>
      <c r="SQM181" s="23"/>
      <c r="SQN181" s="23"/>
      <c r="SQO181" s="23"/>
      <c r="SQP181" s="23"/>
      <c r="SQQ181" s="23"/>
      <c r="SQR181" s="23"/>
      <c r="SQS181" s="23"/>
      <c r="SQT181" s="23"/>
      <c r="SQU181" s="23"/>
      <c r="SQV181" s="23"/>
      <c r="SQW181" s="23"/>
      <c r="SQX181" s="23"/>
      <c r="SQY181" s="23"/>
      <c r="SQZ181" s="23"/>
      <c r="SRA181" s="23"/>
      <c r="SRB181" s="23"/>
      <c r="SRC181" s="23"/>
      <c r="SRD181" s="23"/>
      <c r="SRE181" s="23"/>
      <c r="SRF181" s="23"/>
      <c r="SRG181" s="23"/>
      <c r="SRH181" s="23"/>
      <c r="SRI181" s="23"/>
      <c r="SRJ181" s="23"/>
      <c r="SRK181" s="23"/>
      <c r="SRL181" s="23"/>
      <c r="SRM181" s="23"/>
      <c r="SRN181" s="23"/>
      <c r="SRO181" s="23"/>
      <c r="SRP181" s="23"/>
      <c r="SRQ181" s="23"/>
      <c r="SRR181" s="23"/>
      <c r="SRS181" s="23"/>
      <c r="SRT181" s="23"/>
      <c r="SRU181" s="23"/>
      <c r="SRV181" s="23"/>
      <c r="SRW181" s="23"/>
      <c r="SRX181" s="23"/>
      <c r="SRY181" s="23"/>
      <c r="SRZ181" s="23"/>
      <c r="SSA181" s="23"/>
      <c r="SSB181" s="23"/>
      <c r="SSC181" s="23"/>
      <c r="SSD181" s="23"/>
      <c r="SSE181" s="23"/>
      <c r="SSF181" s="23"/>
      <c r="SSG181" s="23"/>
      <c r="SSH181" s="23"/>
      <c r="SSI181" s="23"/>
      <c r="SSJ181" s="23"/>
      <c r="SSK181" s="23"/>
      <c r="SSL181" s="23"/>
      <c r="SSM181" s="23"/>
      <c r="SSN181" s="23"/>
      <c r="SSO181" s="23"/>
      <c r="SSP181" s="23"/>
      <c r="SSQ181" s="23"/>
      <c r="SSR181" s="23"/>
      <c r="SSS181" s="23"/>
      <c r="SST181" s="23"/>
      <c r="SSU181" s="23"/>
      <c r="SSV181" s="23"/>
      <c r="SSW181" s="23"/>
      <c r="SSX181" s="23"/>
      <c r="SSY181" s="23"/>
      <c r="SSZ181" s="23"/>
      <c r="STA181" s="23"/>
      <c r="STB181" s="23"/>
      <c r="STC181" s="23"/>
      <c r="STD181" s="23"/>
      <c r="STE181" s="23"/>
      <c r="STF181" s="23"/>
      <c r="STG181" s="23"/>
      <c r="STH181" s="23"/>
      <c r="STI181" s="23"/>
      <c r="STJ181" s="23"/>
      <c r="STK181" s="23"/>
      <c r="STL181" s="23"/>
      <c r="STM181" s="23"/>
      <c r="STN181" s="23"/>
      <c r="STO181" s="23"/>
      <c r="STP181" s="23"/>
      <c r="STQ181" s="23"/>
      <c r="STR181" s="23"/>
      <c r="STS181" s="23"/>
      <c r="STT181" s="23"/>
      <c r="STU181" s="23"/>
      <c r="STV181" s="23"/>
      <c r="STW181" s="23"/>
      <c r="STX181" s="23"/>
      <c r="STY181" s="23"/>
      <c r="STZ181" s="23"/>
      <c r="SUA181" s="23"/>
      <c r="SUB181" s="23"/>
      <c r="SUC181" s="23"/>
      <c r="SUD181" s="23"/>
      <c r="SUE181" s="23"/>
      <c r="SUF181" s="23"/>
      <c r="SUG181" s="23"/>
      <c r="SUH181" s="23"/>
      <c r="SUI181" s="23"/>
      <c r="SUJ181" s="23"/>
      <c r="SUK181" s="23"/>
      <c r="SUL181" s="23"/>
      <c r="SUM181" s="23"/>
      <c r="SUN181" s="23"/>
      <c r="SUO181" s="23"/>
      <c r="SUP181" s="23"/>
      <c r="SUQ181" s="23"/>
      <c r="SUR181" s="23"/>
      <c r="SUS181" s="23"/>
      <c r="SUT181" s="23"/>
      <c r="SUU181" s="23"/>
      <c r="SUV181" s="23"/>
      <c r="SUW181" s="23"/>
      <c r="SUX181" s="23"/>
      <c r="SUY181" s="23"/>
      <c r="SUZ181" s="23"/>
      <c r="SVA181" s="23"/>
      <c r="SVB181" s="23"/>
      <c r="SVC181" s="23"/>
      <c r="SVD181" s="23"/>
      <c r="SVE181" s="23"/>
      <c r="SVF181" s="23"/>
      <c r="SVG181" s="23"/>
      <c r="SVH181" s="23"/>
      <c r="SVI181" s="23"/>
      <c r="SVJ181" s="23"/>
      <c r="SVK181" s="23"/>
      <c r="SVL181" s="23"/>
      <c r="SVM181" s="23"/>
      <c r="SVN181" s="23"/>
      <c r="SVO181" s="23"/>
      <c r="SVP181" s="23"/>
      <c r="SVQ181" s="23"/>
      <c r="SVR181" s="23"/>
      <c r="SVS181" s="23"/>
      <c r="SVT181" s="23"/>
      <c r="SVU181" s="23"/>
      <c r="SVV181" s="23"/>
      <c r="SVW181" s="23"/>
      <c r="SVX181" s="23"/>
      <c r="SVY181" s="23"/>
      <c r="SVZ181" s="23"/>
      <c r="SWA181" s="23"/>
      <c r="SWB181" s="23"/>
      <c r="SWC181" s="23"/>
      <c r="SWD181" s="23"/>
      <c r="SWE181" s="23"/>
      <c r="SWF181" s="23"/>
      <c r="SWG181" s="23"/>
      <c r="SWH181" s="23"/>
      <c r="SWI181" s="23"/>
      <c r="SWJ181" s="23"/>
      <c r="SWK181" s="23"/>
      <c r="SWL181" s="23"/>
      <c r="SWM181" s="23"/>
      <c r="SWN181" s="23"/>
      <c r="SWO181" s="23"/>
      <c r="SWP181" s="23"/>
      <c r="SWQ181" s="23"/>
      <c r="SWR181" s="23"/>
      <c r="SWS181" s="23"/>
      <c r="SWT181" s="23"/>
      <c r="SWU181" s="23"/>
      <c r="SWV181" s="23"/>
      <c r="SWW181" s="23"/>
      <c r="SWX181" s="23"/>
      <c r="SWY181" s="23"/>
      <c r="SWZ181" s="23"/>
      <c r="SXA181" s="23"/>
      <c r="SXB181" s="23"/>
      <c r="SXC181" s="23"/>
      <c r="SXD181" s="23"/>
      <c r="SXE181" s="23"/>
      <c r="SXF181" s="23"/>
      <c r="SXG181" s="23"/>
      <c r="SXH181" s="23"/>
      <c r="SXI181" s="23"/>
      <c r="SXJ181" s="23"/>
      <c r="SXK181" s="23"/>
      <c r="SXL181" s="23"/>
      <c r="SXM181" s="23"/>
      <c r="SXN181" s="23"/>
      <c r="SXO181" s="23"/>
      <c r="SXP181" s="23"/>
      <c r="SXQ181" s="23"/>
      <c r="SXR181" s="23"/>
      <c r="SXS181" s="23"/>
      <c r="SXT181" s="23"/>
      <c r="SXU181" s="23"/>
      <c r="SXV181" s="23"/>
      <c r="SXW181" s="23"/>
      <c r="SXX181" s="23"/>
      <c r="SXY181" s="23"/>
      <c r="SXZ181" s="23"/>
      <c r="SYA181" s="23"/>
      <c r="SYB181" s="23"/>
      <c r="SYC181" s="23"/>
      <c r="SYD181" s="23"/>
      <c r="SYE181" s="23"/>
      <c r="SYF181" s="23"/>
      <c r="SYG181" s="23"/>
      <c r="SYH181" s="23"/>
      <c r="SYI181" s="23"/>
      <c r="SYJ181" s="23"/>
      <c r="SYK181" s="23"/>
      <c r="SYL181" s="23"/>
      <c r="SYM181" s="23"/>
      <c r="SYN181" s="23"/>
      <c r="SYO181" s="23"/>
      <c r="SYP181" s="23"/>
      <c r="SYQ181" s="23"/>
      <c r="SYR181" s="23"/>
      <c r="SYS181" s="23"/>
      <c r="SYT181" s="23"/>
      <c r="SYU181" s="23"/>
      <c r="SYV181" s="23"/>
      <c r="SYW181" s="23"/>
      <c r="SYX181" s="23"/>
      <c r="SYY181" s="23"/>
      <c r="SYZ181" s="23"/>
      <c r="SZA181" s="23"/>
      <c r="SZB181" s="23"/>
      <c r="SZC181" s="23"/>
      <c r="SZD181" s="23"/>
      <c r="SZE181" s="23"/>
      <c r="SZF181" s="23"/>
      <c r="SZG181" s="23"/>
      <c r="SZH181" s="23"/>
      <c r="SZI181" s="23"/>
      <c r="SZJ181" s="23"/>
      <c r="SZK181" s="23"/>
      <c r="SZL181" s="23"/>
      <c r="SZM181" s="23"/>
      <c r="SZN181" s="23"/>
      <c r="SZO181" s="23"/>
      <c r="SZP181" s="23"/>
      <c r="SZQ181" s="23"/>
      <c r="SZR181" s="23"/>
      <c r="SZS181" s="23"/>
      <c r="SZT181" s="23"/>
      <c r="SZU181" s="23"/>
      <c r="SZV181" s="23"/>
      <c r="SZW181" s="23"/>
      <c r="SZX181" s="23"/>
      <c r="SZY181" s="23"/>
      <c r="SZZ181" s="23"/>
      <c r="TAA181" s="23"/>
      <c r="TAB181" s="23"/>
      <c r="TAC181" s="23"/>
      <c r="TAD181" s="23"/>
      <c r="TAE181" s="23"/>
      <c r="TAF181" s="23"/>
      <c r="TAG181" s="23"/>
      <c r="TAH181" s="23"/>
      <c r="TAI181" s="23"/>
      <c r="TAJ181" s="23"/>
      <c r="TAK181" s="23"/>
      <c r="TAL181" s="23"/>
      <c r="TAM181" s="23"/>
      <c r="TAN181" s="23"/>
      <c r="TAO181" s="23"/>
      <c r="TAP181" s="23"/>
      <c r="TAQ181" s="23"/>
      <c r="TAR181" s="23"/>
      <c r="TAS181" s="23"/>
      <c r="TAT181" s="23"/>
      <c r="TAU181" s="23"/>
      <c r="TAV181" s="23"/>
      <c r="TAW181" s="23"/>
      <c r="TAX181" s="23"/>
      <c r="TAY181" s="23"/>
      <c r="TAZ181" s="23"/>
      <c r="TBA181" s="23"/>
      <c r="TBB181" s="23"/>
      <c r="TBC181" s="23"/>
      <c r="TBD181" s="23"/>
      <c r="TBE181" s="23"/>
      <c r="TBF181" s="23"/>
      <c r="TBG181" s="23"/>
      <c r="TBH181" s="23"/>
      <c r="TBI181" s="23"/>
      <c r="TBJ181" s="23"/>
      <c r="TBK181" s="23"/>
      <c r="TBL181" s="23"/>
      <c r="TBM181" s="23"/>
      <c r="TBN181" s="23"/>
      <c r="TBO181" s="23"/>
      <c r="TBP181" s="23"/>
      <c r="TBQ181" s="23"/>
      <c r="TBR181" s="23"/>
      <c r="TBS181" s="23"/>
      <c r="TBT181" s="23"/>
      <c r="TBU181" s="23"/>
      <c r="TBV181" s="23"/>
      <c r="TBW181" s="23"/>
      <c r="TBX181" s="23"/>
      <c r="TBY181" s="23"/>
      <c r="TBZ181" s="23"/>
      <c r="TCA181" s="23"/>
      <c r="TCB181" s="23"/>
      <c r="TCC181" s="23"/>
      <c r="TCD181" s="23"/>
      <c r="TCE181" s="23"/>
      <c r="TCF181" s="23"/>
      <c r="TCG181" s="23"/>
      <c r="TCH181" s="23"/>
      <c r="TCI181" s="23"/>
      <c r="TCJ181" s="23"/>
      <c r="TCK181" s="23"/>
      <c r="TCL181" s="23"/>
      <c r="TCM181" s="23"/>
      <c r="TCN181" s="23"/>
      <c r="TCO181" s="23"/>
      <c r="TCP181" s="23"/>
      <c r="TCQ181" s="23"/>
      <c r="TCR181" s="23"/>
      <c r="TCS181" s="23"/>
      <c r="TCT181" s="23"/>
      <c r="TCU181" s="23"/>
      <c r="TCV181" s="23"/>
      <c r="TCW181" s="23"/>
      <c r="TCX181" s="23"/>
      <c r="TCY181" s="23"/>
      <c r="TCZ181" s="23"/>
      <c r="TDA181" s="23"/>
      <c r="TDB181" s="23"/>
      <c r="TDC181" s="23"/>
      <c r="TDD181" s="23"/>
      <c r="TDE181" s="23"/>
      <c r="TDF181" s="23"/>
      <c r="TDG181" s="23"/>
      <c r="TDH181" s="23"/>
      <c r="TDI181" s="23"/>
      <c r="TDJ181" s="23"/>
      <c r="TDK181" s="23"/>
      <c r="TDL181" s="23"/>
      <c r="TDM181" s="23"/>
      <c r="TDN181" s="23"/>
      <c r="TDO181" s="23"/>
      <c r="TDP181" s="23"/>
      <c r="TDQ181" s="23"/>
      <c r="TDR181" s="23"/>
      <c r="TDS181" s="23"/>
      <c r="TDT181" s="23"/>
      <c r="TDU181" s="23"/>
      <c r="TDV181" s="23"/>
      <c r="TDW181" s="23"/>
      <c r="TDX181" s="23"/>
      <c r="TDY181" s="23"/>
      <c r="TDZ181" s="23"/>
      <c r="TEA181" s="23"/>
      <c r="TEB181" s="23"/>
      <c r="TEC181" s="23"/>
      <c r="TED181" s="23"/>
      <c r="TEE181" s="23"/>
      <c r="TEF181" s="23"/>
      <c r="TEG181" s="23"/>
      <c r="TEH181" s="23"/>
      <c r="TEI181" s="23"/>
      <c r="TEJ181" s="23"/>
      <c r="TEK181" s="23"/>
      <c r="TEL181" s="23"/>
      <c r="TEM181" s="23"/>
      <c r="TEN181" s="23"/>
      <c r="TEO181" s="23"/>
      <c r="TEP181" s="23"/>
      <c r="TEQ181" s="23"/>
      <c r="TER181" s="23"/>
      <c r="TES181" s="23"/>
      <c r="TET181" s="23"/>
      <c r="TEU181" s="23"/>
      <c r="TEV181" s="23"/>
      <c r="TEW181" s="23"/>
      <c r="TEX181" s="23"/>
      <c r="TEY181" s="23"/>
      <c r="TEZ181" s="23"/>
      <c r="TFA181" s="23"/>
      <c r="TFB181" s="23"/>
      <c r="TFC181" s="23"/>
      <c r="TFD181" s="23"/>
      <c r="TFE181" s="23"/>
      <c r="TFF181" s="23"/>
      <c r="TFG181" s="23"/>
      <c r="TFH181" s="23"/>
      <c r="TFI181" s="23"/>
      <c r="TFJ181" s="23"/>
      <c r="TFK181" s="23"/>
      <c r="TFL181" s="23"/>
      <c r="TFM181" s="23"/>
      <c r="TFN181" s="23"/>
      <c r="TFO181" s="23"/>
      <c r="TFP181" s="23"/>
      <c r="TFQ181" s="23"/>
      <c r="TFR181" s="23"/>
      <c r="TFS181" s="23"/>
      <c r="TFT181" s="23"/>
      <c r="TFU181" s="23"/>
      <c r="TFV181" s="23"/>
      <c r="TFW181" s="23"/>
      <c r="TFX181" s="23"/>
      <c r="TFY181" s="23"/>
      <c r="TFZ181" s="23"/>
      <c r="TGA181" s="23"/>
      <c r="TGB181" s="23"/>
      <c r="TGC181" s="23"/>
      <c r="TGD181" s="23"/>
      <c r="TGE181" s="23"/>
      <c r="TGF181" s="23"/>
      <c r="TGG181" s="23"/>
      <c r="TGH181" s="23"/>
      <c r="TGI181" s="23"/>
      <c r="TGJ181" s="23"/>
      <c r="TGK181" s="23"/>
      <c r="TGL181" s="23"/>
      <c r="TGM181" s="23"/>
      <c r="TGN181" s="23"/>
      <c r="TGO181" s="23"/>
      <c r="TGP181" s="23"/>
      <c r="TGQ181" s="23"/>
      <c r="TGR181" s="23"/>
      <c r="TGS181" s="23"/>
      <c r="TGT181" s="23"/>
      <c r="TGU181" s="23"/>
      <c r="TGV181" s="23"/>
      <c r="TGW181" s="23"/>
      <c r="TGX181" s="23"/>
      <c r="TGY181" s="23"/>
      <c r="TGZ181" s="23"/>
      <c r="THA181" s="23"/>
      <c r="THB181" s="23"/>
      <c r="THC181" s="23"/>
      <c r="THD181" s="23"/>
      <c r="THE181" s="23"/>
      <c r="THF181" s="23"/>
      <c r="THG181" s="23"/>
      <c r="THH181" s="23"/>
      <c r="THI181" s="23"/>
      <c r="THJ181" s="23"/>
      <c r="THK181" s="23"/>
      <c r="THL181" s="23"/>
      <c r="THM181" s="23"/>
      <c r="THN181" s="23"/>
      <c r="THO181" s="23"/>
      <c r="THP181" s="23"/>
      <c r="THQ181" s="23"/>
      <c r="THR181" s="23"/>
      <c r="THS181" s="23"/>
      <c r="THT181" s="23"/>
      <c r="THU181" s="23"/>
      <c r="THV181" s="23"/>
      <c r="THW181" s="23"/>
      <c r="THX181" s="23"/>
      <c r="THY181" s="23"/>
      <c r="THZ181" s="23"/>
      <c r="TIA181" s="23"/>
      <c r="TIB181" s="23"/>
      <c r="TIC181" s="23"/>
      <c r="TID181" s="23"/>
      <c r="TIE181" s="23"/>
      <c r="TIF181" s="23"/>
      <c r="TIG181" s="23"/>
      <c r="TIH181" s="23"/>
      <c r="TII181" s="23"/>
      <c r="TIJ181" s="23"/>
      <c r="TIK181" s="23"/>
      <c r="TIL181" s="23"/>
      <c r="TIM181" s="23"/>
      <c r="TIN181" s="23"/>
      <c r="TIO181" s="23"/>
      <c r="TIP181" s="23"/>
      <c r="TIQ181" s="23"/>
      <c r="TIR181" s="23"/>
      <c r="TIS181" s="23"/>
      <c r="TIT181" s="23"/>
      <c r="TIU181" s="23"/>
      <c r="TIV181" s="23"/>
      <c r="TIW181" s="23"/>
      <c r="TIX181" s="23"/>
      <c r="TIY181" s="23"/>
      <c r="TIZ181" s="23"/>
      <c r="TJA181" s="23"/>
      <c r="TJB181" s="23"/>
      <c r="TJC181" s="23"/>
      <c r="TJD181" s="23"/>
      <c r="TJE181" s="23"/>
      <c r="TJF181" s="23"/>
      <c r="TJG181" s="23"/>
      <c r="TJH181" s="23"/>
      <c r="TJI181" s="23"/>
      <c r="TJJ181" s="23"/>
      <c r="TJK181" s="23"/>
      <c r="TJL181" s="23"/>
      <c r="TJM181" s="23"/>
      <c r="TJN181" s="23"/>
      <c r="TJO181" s="23"/>
      <c r="TJP181" s="23"/>
      <c r="TJQ181" s="23"/>
      <c r="TJR181" s="23"/>
      <c r="TJS181" s="23"/>
      <c r="TJT181" s="23"/>
      <c r="TJU181" s="23"/>
      <c r="TJV181" s="23"/>
      <c r="TJW181" s="23"/>
      <c r="TJX181" s="23"/>
      <c r="TJY181" s="23"/>
      <c r="TJZ181" s="23"/>
      <c r="TKA181" s="23"/>
      <c r="TKB181" s="23"/>
      <c r="TKC181" s="23"/>
      <c r="TKD181" s="23"/>
      <c r="TKE181" s="23"/>
      <c r="TKF181" s="23"/>
      <c r="TKG181" s="23"/>
      <c r="TKH181" s="23"/>
      <c r="TKI181" s="23"/>
      <c r="TKJ181" s="23"/>
      <c r="TKK181" s="23"/>
      <c r="TKL181" s="23"/>
      <c r="TKM181" s="23"/>
      <c r="TKN181" s="23"/>
      <c r="TKO181" s="23"/>
      <c r="TKP181" s="23"/>
      <c r="TKQ181" s="23"/>
      <c r="TKR181" s="23"/>
      <c r="TKS181" s="23"/>
      <c r="TKT181" s="23"/>
      <c r="TKU181" s="23"/>
      <c r="TKV181" s="23"/>
      <c r="TKW181" s="23"/>
      <c r="TKX181" s="23"/>
      <c r="TKY181" s="23"/>
      <c r="TKZ181" s="23"/>
      <c r="TLA181" s="23"/>
      <c r="TLB181" s="23"/>
      <c r="TLC181" s="23"/>
      <c r="TLD181" s="23"/>
      <c r="TLE181" s="23"/>
      <c r="TLF181" s="23"/>
      <c r="TLG181" s="23"/>
      <c r="TLH181" s="23"/>
      <c r="TLI181" s="23"/>
      <c r="TLJ181" s="23"/>
      <c r="TLK181" s="23"/>
      <c r="TLL181" s="23"/>
      <c r="TLM181" s="23"/>
      <c r="TLN181" s="23"/>
      <c r="TLO181" s="23"/>
      <c r="TLP181" s="23"/>
      <c r="TLQ181" s="23"/>
      <c r="TLR181" s="23"/>
      <c r="TLS181" s="23"/>
      <c r="TLT181" s="23"/>
      <c r="TLU181" s="23"/>
      <c r="TLV181" s="23"/>
      <c r="TLW181" s="23"/>
      <c r="TLX181" s="23"/>
      <c r="TLY181" s="23"/>
      <c r="TLZ181" s="23"/>
      <c r="TMA181" s="23"/>
      <c r="TMB181" s="23"/>
      <c r="TMC181" s="23"/>
      <c r="TMD181" s="23"/>
      <c r="TME181" s="23"/>
      <c r="TMF181" s="23"/>
      <c r="TMG181" s="23"/>
      <c r="TMH181" s="23"/>
      <c r="TMI181" s="23"/>
      <c r="TMJ181" s="23"/>
      <c r="TMK181" s="23"/>
      <c r="TML181" s="23"/>
      <c r="TMM181" s="23"/>
      <c r="TMN181" s="23"/>
      <c r="TMO181" s="23"/>
      <c r="TMP181" s="23"/>
      <c r="TMQ181" s="23"/>
      <c r="TMR181" s="23"/>
      <c r="TMS181" s="23"/>
      <c r="TMT181" s="23"/>
      <c r="TMU181" s="23"/>
      <c r="TMV181" s="23"/>
      <c r="TMW181" s="23"/>
      <c r="TMX181" s="23"/>
      <c r="TMY181" s="23"/>
      <c r="TMZ181" s="23"/>
      <c r="TNA181" s="23"/>
      <c r="TNB181" s="23"/>
      <c r="TNC181" s="23"/>
      <c r="TND181" s="23"/>
      <c r="TNE181" s="23"/>
      <c r="TNF181" s="23"/>
      <c r="TNG181" s="23"/>
      <c r="TNH181" s="23"/>
      <c r="TNI181" s="23"/>
      <c r="TNJ181" s="23"/>
      <c r="TNK181" s="23"/>
      <c r="TNL181" s="23"/>
      <c r="TNM181" s="23"/>
      <c r="TNN181" s="23"/>
      <c r="TNO181" s="23"/>
      <c r="TNP181" s="23"/>
      <c r="TNQ181" s="23"/>
      <c r="TNR181" s="23"/>
      <c r="TNS181" s="23"/>
      <c r="TNT181" s="23"/>
      <c r="TNU181" s="23"/>
      <c r="TNV181" s="23"/>
      <c r="TNW181" s="23"/>
      <c r="TNX181" s="23"/>
      <c r="TNY181" s="23"/>
      <c r="TNZ181" s="23"/>
      <c r="TOA181" s="23"/>
      <c r="TOB181" s="23"/>
      <c r="TOC181" s="23"/>
      <c r="TOD181" s="23"/>
      <c r="TOE181" s="23"/>
      <c r="TOF181" s="23"/>
      <c r="TOG181" s="23"/>
      <c r="TOH181" s="23"/>
      <c r="TOI181" s="23"/>
      <c r="TOJ181" s="23"/>
      <c r="TOK181" s="23"/>
      <c r="TOL181" s="23"/>
      <c r="TOM181" s="23"/>
      <c r="TON181" s="23"/>
      <c r="TOO181" s="23"/>
      <c r="TOP181" s="23"/>
      <c r="TOQ181" s="23"/>
      <c r="TOR181" s="23"/>
      <c r="TOS181" s="23"/>
      <c r="TOT181" s="23"/>
      <c r="TOU181" s="23"/>
      <c r="TOV181" s="23"/>
      <c r="TOW181" s="23"/>
      <c r="TOX181" s="23"/>
      <c r="TOY181" s="23"/>
      <c r="TOZ181" s="23"/>
      <c r="TPA181" s="23"/>
      <c r="TPB181" s="23"/>
      <c r="TPC181" s="23"/>
      <c r="TPD181" s="23"/>
      <c r="TPE181" s="23"/>
      <c r="TPF181" s="23"/>
      <c r="TPG181" s="23"/>
      <c r="TPH181" s="23"/>
      <c r="TPI181" s="23"/>
      <c r="TPJ181" s="23"/>
      <c r="TPK181" s="23"/>
      <c r="TPL181" s="23"/>
      <c r="TPM181" s="23"/>
      <c r="TPN181" s="23"/>
      <c r="TPO181" s="23"/>
      <c r="TPP181" s="23"/>
      <c r="TPQ181" s="23"/>
      <c r="TPR181" s="23"/>
      <c r="TPS181" s="23"/>
      <c r="TPT181" s="23"/>
      <c r="TPU181" s="23"/>
      <c r="TPV181" s="23"/>
      <c r="TPW181" s="23"/>
      <c r="TPX181" s="23"/>
      <c r="TPY181" s="23"/>
      <c r="TPZ181" s="23"/>
      <c r="TQA181" s="23"/>
      <c r="TQB181" s="23"/>
      <c r="TQC181" s="23"/>
      <c r="TQD181" s="23"/>
      <c r="TQE181" s="23"/>
      <c r="TQF181" s="23"/>
      <c r="TQG181" s="23"/>
      <c r="TQH181" s="23"/>
      <c r="TQI181" s="23"/>
      <c r="TQJ181" s="23"/>
      <c r="TQK181" s="23"/>
      <c r="TQL181" s="23"/>
      <c r="TQM181" s="23"/>
      <c r="TQN181" s="23"/>
      <c r="TQO181" s="23"/>
      <c r="TQP181" s="23"/>
      <c r="TQQ181" s="23"/>
      <c r="TQR181" s="23"/>
      <c r="TQS181" s="23"/>
      <c r="TQT181" s="23"/>
      <c r="TQU181" s="23"/>
      <c r="TQV181" s="23"/>
      <c r="TQW181" s="23"/>
      <c r="TQX181" s="23"/>
      <c r="TQY181" s="23"/>
      <c r="TQZ181" s="23"/>
      <c r="TRA181" s="23"/>
      <c r="TRB181" s="23"/>
      <c r="TRC181" s="23"/>
      <c r="TRD181" s="23"/>
      <c r="TRE181" s="23"/>
      <c r="TRF181" s="23"/>
      <c r="TRG181" s="23"/>
      <c r="TRH181" s="23"/>
      <c r="TRI181" s="23"/>
      <c r="TRJ181" s="23"/>
      <c r="TRK181" s="23"/>
      <c r="TRL181" s="23"/>
      <c r="TRM181" s="23"/>
      <c r="TRN181" s="23"/>
      <c r="TRO181" s="23"/>
      <c r="TRP181" s="23"/>
      <c r="TRQ181" s="23"/>
      <c r="TRR181" s="23"/>
      <c r="TRS181" s="23"/>
      <c r="TRT181" s="23"/>
      <c r="TRU181" s="23"/>
      <c r="TRV181" s="23"/>
      <c r="TRW181" s="23"/>
      <c r="TRX181" s="23"/>
      <c r="TRY181" s="23"/>
      <c r="TRZ181" s="23"/>
      <c r="TSA181" s="23"/>
      <c r="TSB181" s="23"/>
      <c r="TSC181" s="23"/>
      <c r="TSD181" s="23"/>
      <c r="TSE181" s="23"/>
      <c r="TSF181" s="23"/>
      <c r="TSG181" s="23"/>
      <c r="TSH181" s="23"/>
      <c r="TSI181" s="23"/>
      <c r="TSJ181" s="23"/>
      <c r="TSK181" s="23"/>
      <c r="TSL181" s="23"/>
      <c r="TSM181" s="23"/>
      <c r="TSN181" s="23"/>
      <c r="TSO181" s="23"/>
      <c r="TSP181" s="23"/>
      <c r="TSQ181" s="23"/>
      <c r="TSR181" s="23"/>
      <c r="TSS181" s="23"/>
      <c r="TST181" s="23"/>
      <c r="TSU181" s="23"/>
      <c r="TSV181" s="23"/>
      <c r="TSW181" s="23"/>
      <c r="TSX181" s="23"/>
      <c r="TSY181" s="23"/>
      <c r="TSZ181" s="23"/>
      <c r="TTA181" s="23"/>
      <c r="TTB181" s="23"/>
      <c r="TTC181" s="23"/>
      <c r="TTD181" s="23"/>
      <c r="TTE181" s="23"/>
      <c r="TTF181" s="23"/>
      <c r="TTG181" s="23"/>
      <c r="TTH181" s="23"/>
      <c r="TTI181" s="23"/>
      <c r="TTJ181" s="23"/>
      <c r="TTK181" s="23"/>
      <c r="TTL181" s="23"/>
      <c r="TTM181" s="23"/>
      <c r="TTN181" s="23"/>
      <c r="TTO181" s="23"/>
      <c r="TTP181" s="23"/>
      <c r="TTQ181" s="23"/>
      <c r="TTR181" s="23"/>
      <c r="TTS181" s="23"/>
      <c r="TTT181" s="23"/>
      <c r="TTU181" s="23"/>
      <c r="TTV181" s="23"/>
      <c r="TTW181" s="23"/>
      <c r="TTX181" s="23"/>
      <c r="TTY181" s="23"/>
      <c r="TTZ181" s="23"/>
      <c r="TUA181" s="23"/>
      <c r="TUB181" s="23"/>
      <c r="TUC181" s="23"/>
      <c r="TUD181" s="23"/>
      <c r="TUE181" s="23"/>
      <c r="TUF181" s="23"/>
      <c r="TUG181" s="23"/>
      <c r="TUH181" s="23"/>
      <c r="TUI181" s="23"/>
      <c r="TUJ181" s="23"/>
      <c r="TUK181" s="23"/>
      <c r="TUL181" s="23"/>
      <c r="TUM181" s="23"/>
      <c r="TUN181" s="23"/>
      <c r="TUO181" s="23"/>
      <c r="TUP181" s="23"/>
      <c r="TUQ181" s="23"/>
      <c r="TUR181" s="23"/>
      <c r="TUS181" s="23"/>
      <c r="TUT181" s="23"/>
      <c r="TUU181" s="23"/>
      <c r="TUV181" s="23"/>
      <c r="TUW181" s="23"/>
      <c r="TUX181" s="23"/>
      <c r="TUY181" s="23"/>
      <c r="TUZ181" s="23"/>
      <c r="TVA181" s="23"/>
      <c r="TVB181" s="23"/>
      <c r="TVC181" s="23"/>
      <c r="TVD181" s="23"/>
      <c r="TVE181" s="23"/>
      <c r="TVF181" s="23"/>
      <c r="TVG181" s="23"/>
      <c r="TVH181" s="23"/>
      <c r="TVI181" s="23"/>
      <c r="TVJ181" s="23"/>
      <c r="TVK181" s="23"/>
      <c r="TVL181" s="23"/>
      <c r="TVM181" s="23"/>
      <c r="TVN181" s="23"/>
      <c r="TVO181" s="23"/>
      <c r="TVP181" s="23"/>
      <c r="TVQ181" s="23"/>
      <c r="TVR181" s="23"/>
      <c r="TVS181" s="23"/>
      <c r="TVT181" s="23"/>
      <c r="TVU181" s="23"/>
      <c r="TVV181" s="23"/>
      <c r="TVW181" s="23"/>
      <c r="TVX181" s="23"/>
      <c r="TVY181" s="23"/>
      <c r="TVZ181" s="23"/>
      <c r="TWA181" s="23"/>
      <c r="TWB181" s="23"/>
      <c r="TWC181" s="23"/>
      <c r="TWD181" s="23"/>
      <c r="TWE181" s="23"/>
      <c r="TWF181" s="23"/>
      <c r="TWG181" s="23"/>
      <c r="TWH181" s="23"/>
      <c r="TWI181" s="23"/>
      <c r="TWJ181" s="23"/>
      <c r="TWK181" s="23"/>
      <c r="TWL181" s="23"/>
      <c r="TWM181" s="23"/>
      <c r="TWN181" s="23"/>
      <c r="TWO181" s="23"/>
      <c r="TWP181" s="23"/>
      <c r="TWQ181" s="23"/>
      <c r="TWR181" s="23"/>
      <c r="TWS181" s="23"/>
      <c r="TWT181" s="23"/>
      <c r="TWU181" s="23"/>
      <c r="TWV181" s="23"/>
      <c r="TWW181" s="23"/>
      <c r="TWX181" s="23"/>
      <c r="TWY181" s="23"/>
      <c r="TWZ181" s="23"/>
      <c r="TXA181" s="23"/>
      <c r="TXB181" s="23"/>
      <c r="TXC181" s="23"/>
      <c r="TXD181" s="23"/>
      <c r="TXE181" s="23"/>
      <c r="TXF181" s="23"/>
      <c r="TXG181" s="23"/>
      <c r="TXH181" s="23"/>
      <c r="TXI181" s="23"/>
      <c r="TXJ181" s="23"/>
      <c r="TXK181" s="23"/>
      <c r="TXL181" s="23"/>
      <c r="TXM181" s="23"/>
      <c r="TXN181" s="23"/>
      <c r="TXO181" s="23"/>
      <c r="TXP181" s="23"/>
      <c r="TXQ181" s="23"/>
      <c r="TXR181" s="23"/>
      <c r="TXS181" s="23"/>
      <c r="TXT181" s="23"/>
      <c r="TXU181" s="23"/>
      <c r="TXV181" s="23"/>
      <c r="TXW181" s="23"/>
      <c r="TXX181" s="23"/>
      <c r="TXY181" s="23"/>
      <c r="TXZ181" s="23"/>
      <c r="TYA181" s="23"/>
      <c r="TYB181" s="23"/>
      <c r="TYC181" s="23"/>
      <c r="TYD181" s="23"/>
      <c r="TYE181" s="23"/>
      <c r="TYF181" s="23"/>
      <c r="TYG181" s="23"/>
      <c r="TYH181" s="23"/>
      <c r="TYI181" s="23"/>
      <c r="TYJ181" s="23"/>
      <c r="TYK181" s="23"/>
      <c r="TYL181" s="23"/>
      <c r="TYM181" s="23"/>
      <c r="TYN181" s="23"/>
      <c r="TYO181" s="23"/>
      <c r="TYP181" s="23"/>
      <c r="TYQ181" s="23"/>
      <c r="TYR181" s="23"/>
      <c r="TYS181" s="23"/>
      <c r="TYT181" s="23"/>
      <c r="TYU181" s="23"/>
      <c r="TYV181" s="23"/>
      <c r="TYW181" s="23"/>
      <c r="TYX181" s="23"/>
      <c r="TYY181" s="23"/>
      <c r="TYZ181" s="23"/>
      <c r="TZA181" s="23"/>
      <c r="TZB181" s="23"/>
      <c r="TZC181" s="23"/>
      <c r="TZD181" s="23"/>
      <c r="TZE181" s="23"/>
      <c r="TZF181" s="23"/>
      <c r="TZG181" s="23"/>
      <c r="TZH181" s="23"/>
      <c r="TZI181" s="23"/>
      <c r="TZJ181" s="23"/>
      <c r="TZK181" s="23"/>
      <c r="TZL181" s="23"/>
      <c r="TZM181" s="23"/>
      <c r="TZN181" s="23"/>
      <c r="TZO181" s="23"/>
      <c r="TZP181" s="23"/>
      <c r="TZQ181" s="23"/>
      <c r="TZR181" s="23"/>
      <c r="TZS181" s="23"/>
      <c r="TZT181" s="23"/>
      <c r="TZU181" s="23"/>
      <c r="TZV181" s="23"/>
      <c r="TZW181" s="23"/>
      <c r="TZX181" s="23"/>
      <c r="TZY181" s="23"/>
      <c r="TZZ181" s="23"/>
      <c r="UAA181" s="23"/>
      <c r="UAB181" s="23"/>
      <c r="UAC181" s="23"/>
      <c r="UAD181" s="23"/>
      <c r="UAE181" s="23"/>
      <c r="UAF181" s="23"/>
      <c r="UAG181" s="23"/>
      <c r="UAH181" s="23"/>
      <c r="UAI181" s="23"/>
      <c r="UAJ181" s="23"/>
      <c r="UAK181" s="23"/>
      <c r="UAL181" s="23"/>
      <c r="UAM181" s="23"/>
      <c r="UAN181" s="23"/>
      <c r="UAO181" s="23"/>
      <c r="UAP181" s="23"/>
      <c r="UAQ181" s="23"/>
      <c r="UAR181" s="23"/>
      <c r="UAS181" s="23"/>
      <c r="UAT181" s="23"/>
      <c r="UAU181" s="23"/>
      <c r="UAV181" s="23"/>
      <c r="UAW181" s="23"/>
      <c r="UAX181" s="23"/>
      <c r="UAY181" s="23"/>
      <c r="UAZ181" s="23"/>
      <c r="UBA181" s="23"/>
      <c r="UBB181" s="23"/>
      <c r="UBC181" s="23"/>
      <c r="UBD181" s="23"/>
      <c r="UBE181" s="23"/>
      <c r="UBF181" s="23"/>
      <c r="UBG181" s="23"/>
      <c r="UBH181" s="23"/>
      <c r="UBI181" s="23"/>
      <c r="UBJ181" s="23"/>
      <c r="UBK181" s="23"/>
      <c r="UBL181" s="23"/>
      <c r="UBM181" s="23"/>
      <c r="UBN181" s="23"/>
      <c r="UBO181" s="23"/>
      <c r="UBP181" s="23"/>
      <c r="UBQ181" s="23"/>
      <c r="UBR181" s="23"/>
      <c r="UBS181" s="23"/>
      <c r="UBT181" s="23"/>
      <c r="UBU181" s="23"/>
      <c r="UBV181" s="23"/>
      <c r="UBW181" s="23"/>
      <c r="UBX181" s="23"/>
      <c r="UBY181" s="23"/>
      <c r="UBZ181" s="23"/>
      <c r="UCA181" s="23"/>
      <c r="UCB181" s="23"/>
      <c r="UCC181" s="23"/>
      <c r="UCD181" s="23"/>
      <c r="UCE181" s="23"/>
      <c r="UCF181" s="23"/>
      <c r="UCG181" s="23"/>
      <c r="UCH181" s="23"/>
      <c r="UCI181" s="23"/>
      <c r="UCJ181" s="23"/>
      <c r="UCK181" s="23"/>
      <c r="UCL181" s="23"/>
      <c r="UCM181" s="23"/>
      <c r="UCN181" s="23"/>
      <c r="UCO181" s="23"/>
      <c r="UCP181" s="23"/>
      <c r="UCQ181" s="23"/>
      <c r="UCR181" s="23"/>
      <c r="UCS181" s="23"/>
      <c r="UCT181" s="23"/>
      <c r="UCU181" s="23"/>
      <c r="UCV181" s="23"/>
      <c r="UCW181" s="23"/>
      <c r="UCX181" s="23"/>
      <c r="UCY181" s="23"/>
      <c r="UCZ181" s="23"/>
      <c r="UDA181" s="23"/>
      <c r="UDB181" s="23"/>
      <c r="UDC181" s="23"/>
      <c r="UDD181" s="23"/>
      <c r="UDE181" s="23"/>
      <c r="UDF181" s="23"/>
      <c r="UDG181" s="23"/>
      <c r="UDH181" s="23"/>
      <c r="UDI181" s="23"/>
      <c r="UDJ181" s="23"/>
      <c r="UDK181" s="23"/>
      <c r="UDL181" s="23"/>
      <c r="UDM181" s="23"/>
      <c r="UDN181" s="23"/>
      <c r="UDO181" s="23"/>
      <c r="UDP181" s="23"/>
      <c r="UDQ181" s="23"/>
      <c r="UDR181" s="23"/>
      <c r="UDS181" s="23"/>
      <c r="UDT181" s="23"/>
      <c r="UDU181" s="23"/>
      <c r="UDV181" s="23"/>
      <c r="UDW181" s="23"/>
      <c r="UDX181" s="23"/>
      <c r="UDY181" s="23"/>
      <c r="UDZ181" s="23"/>
      <c r="UEA181" s="23"/>
      <c r="UEB181" s="23"/>
      <c r="UEC181" s="23"/>
      <c r="UED181" s="23"/>
      <c r="UEE181" s="23"/>
      <c r="UEF181" s="23"/>
      <c r="UEG181" s="23"/>
      <c r="UEH181" s="23"/>
      <c r="UEI181" s="23"/>
      <c r="UEJ181" s="23"/>
      <c r="UEK181" s="23"/>
      <c r="UEL181" s="23"/>
      <c r="UEM181" s="23"/>
      <c r="UEN181" s="23"/>
      <c r="UEO181" s="23"/>
      <c r="UEP181" s="23"/>
      <c r="UEQ181" s="23"/>
      <c r="UER181" s="23"/>
      <c r="UES181" s="23"/>
      <c r="UET181" s="23"/>
      <c r="UEU181" s="23"/>
      <c r="UEV181" s="23"/>
      <c r="UEW181" s="23"/>
      <c r="UEX181" s="23"/>
      <c r="UEY181" s="23"/>
      <c r="UEZ181" s="23"/>
      <c r="UFA181" s="23"/>
      <c r="UFB181" s="23"/>
      <c r="UFC181" s="23"/>
      <c r="UFD181" s="23"/>
      <c r="UFE181" s="23"/>
      <c r="UFF181" s="23"/>
      <c r="UFG181" s="23"/>
      <c r="UFH181" s="23"/>
      <c r="UFI181" s="23"/>
      <c r="UFJ181" s="23"/>
      <c r="UFK181" s="23"/>
      <c r="UFL181" s="23"/>
      <c r="UFM181" s="23"/>
      <c r="UFN181" s="23"/>
      <c r="UFO181" s="23"/>
      <c r="UFP181" s="23"/>
      <c r="UFQ181" s="23"/>
      <c r="UFR181" s="23"/>
      <c r="UFS181" s="23"/>
      <c r="UFT181" s="23"/>
      <c r="UFU181" s="23"/>
      <c r="UFV181" s="23"/>
      <c r="UFW181" s="23"/>
      <c r="UFX181" s="23"/>
      <c r="UFY181" s="23"/>
      <c r="UFZ181" s="23"/>
      <c r="UGA181" s="23"/>
      <c r="UGB181" s="23"/>
      <c r="UGC181" s="23"/>
      <c r="UGD181" s="23"/>
      <c r="UGE181" s="23"/>
      <c r="UGF181" s="23"/>
      <c r="UGG181" s="23"/>
      <c r="UGH181" s="23"/>
      <c r="UGI181" s="23"/>
      <c r="UGJ181" s="23"/>
      <c r="UGK181" s="23"/>
      <c r="UGL181" s="23"/>
      <c r="UGM181" s="23"/>
      <c r="UGN181" s="23"/>
      <c r="UGO181" s="23"/>
      <c r="UGP181" s="23"/>
      <c r="UGQ181" s="23"/>
      <c r="UGR181" s="23"/>
      <c r="UGS181" s="23"/>
      <c r="UGT181" s="23"/>
      <c r="UGU181" s="23"/>
      <c r="UGV181" s="23"/>
      <c r="UGW181" s="23"/>
      <c r="UGX181" s="23"/>
      <c r="UGY181" s="23"/>
      <c r="UGZ181" s="23"/>
      <c r="UHA181" s="23"/>
      <c r="UHB181" s="23"/>
      <c r="UHC181" s="23"/>
      <c r="UHD181" s="23"/>
      <c r="UHE181" s="23"/>
      <c r="UHF181" s="23"/>
      <c r="UHG181" s="23"/>
      <c r="UHH181" s="23"/>
      <c r="UHI181" s="23"/>
      <c r="UHJ181" s="23"/>
      <c r="UHK181" s="23"/>
      <c r="UHL181" s="23"/>
      <c r="UHM181" s="23"/>
      <c r="UHN181" s="23"/>
      <c r="UHO181" s="23"/>
      <c r="UHP181" s="23"/>
      <c r="UHQ181" s="23"/>
      <c r="UHR181" s="23"/>
      <c r="UHS181" s="23"/>
      <c r="UHT181" s="23"/>
      <c r="UHU181" s="23"/>
      <c r="UHV181" s="23"/>
      <c r="UHW181" s="23"/>
      <c r="UHX181" s="23"/>
      <c r="UHY181" s="23"/>
      <c r="UHZ181" s="23"/>
      <c r="UIA181" s="23"/>
      <c r="UIB181" s="23"/>
      <c r="UIC181" s="23"/>
      <c r="UID181" s="23"/>
      <c r="UIE181" s="23"/>
      <c r="UIF181" s="23"/>
      <c r="UIG181" s="23"/>
      <c r="UIH181" s="23"/>
      <c r="UII181" s="23"/>
      <c r="UIJ181" s="23"/>
      <c r="UIK181" s="23"/>
      <c r="UIL181" s="23"/>
      <c r="UIM181" s="23"/>
      <c r="UIN181" s="23"/>
      <c r="UIO181" s="23"/>
      <c r="UIP181" s="23"/>
      <c r="UIQ181" s="23"/>
      <c r="UIR181" s="23"/>
      <c r="UIS181" s="23"/>
      <c r="UIT181" s="23"/>
      <c r="UIU181" s="23"/>
      <c r="UIV181" s="23"/>
      <c r="UIW181" s="23"/>
      <c r="UIX181" s="23"/>
      <c r="UIY181" s="23"/>
      <c r="UIZ181" s="23"/>
      <c r="UJA181" s="23"/>
      <c r="UJB181" s="23"/>
      <c r="UJC181" s="23"/>
      <c r="UJD181" s="23"/>
      <c r="UJE181" s="23"/>
      <c r="UJF181" s="23"/>
      <c r="UJG181" s="23"/>
      <c r="UJH181" s="23"/>
      <c r="UJI181" s="23"/>
      <c r="UJJ181" s="23"/>
      <c r="UJK181" s="23"/>
      <c r="UJL181" s="23"/>
      <c r="UJM181" s="23"/>
      <c r="UJN181" s="23"/>
      <c r="UJO181" s="23"/>
      <c r="UJP181" s="23"/>
      <c r="UJQ181" s="23"/>
      <c r="UJR181" s="23"/>
      <c r="UJS181" s="23"/>
      <c r="UJT181" s="23"/>
      <c r="UJU181" s="23"/>
      <c r="UJV181" s="23"/>
      <c r="UJW181" s="23"/>
      <c r="UJX181" s="23"/>
      <c r="UJY181" s="23"/>
      <c r="UJZ181" s="23"/>
      <c r="UKA181" s="23"/>
      <c r="UKB181" s="23"/>
      <c r="UKC181" s="23"/>
      <c r="UKD181" s="23"/>
      <c r="UKE181" s="23"/>
      <c r="UKF181" s="23"/>
      <c r="UKG181" s="23"/>
      <c r="UKH181" s="23"/>
      <c r="UKI181" s="23"/>
      <c r="UKJ181" s="23"/>
      <c r="UKK181" s="23"/>
      <c r="UKL181" s="23"/>
      <c r="UKM181" s="23"/>
      <c r="UKN181" s="23"/>
      <c r="UKO181" s="23"/>
      <c r="UKP181" s="23"/>
      <c r="UKQ181" s="23"/>
      <c r="UKR181" s="23"/>
      <c r="UKS181" s="23"/>
      <c r="UKT181" s="23"/>
      <c r="UKU181" s="23"/>
      <c r="UKV181" s="23"/>
      <c r="UKW181" s="23"/>
      <c r="UKX181" s="23"/>
      <c r="UKY181" s="23"/>
      <c r="UKZ181" s="23"/>
      <c r="ULA181" s="23"/>
      <c r="ULB181" s="23"/>
      <c r="ULC181" s="23"/>
      <c r="ULD181" s="23"/>
      <c r="ULE181" s="23"/>
      <c r="ULF181" s="23"/>
      <c r="ULG181" s="23"/>
      <c r="ULH181" s="23"/>
      <c r="ULI181" s="23"/>
      <c r="ULJ181" s="23"/>
      <c r="ULK181" s="23"/>
      <c r="ULL181" s="23"/>
      <c r="ULM181" s="23"/>
      <c r="ULN181" s="23"/>
      <c r="ULO181" s="23"/>
      <c r="ULP181" s="23"/>
      <c r="ULQ181" s="23"/>
      <c r="ULR181" s="23"/>
      <c r="ULS181" s="23"/>
      <c r="ULT181" s="23"/>
      <c r="ULU181" s="23"/>
      <c r="ULV181" s="23"/>
      <c r="ULW181" s="23"/>
      <c r="ULX181" s="23"/>
      <c r="ULY181" s="23"/>
      <c r="ULZ181" s="23"/>
      <c r="UMA181" s="23"/>
      <c r="UMB181" s="23"/>
      <c r="UMC181" s="23"/>
      <c r="UMD181" s="23"/>
      <c r="UME181" s="23"/>
      <c r="UMF181" s="23"/>
      <c r="UMG181" s="23"/>
      <c r="UMH181" s="23"/>
      <c r="UMI181" s="23"/>
      <c r="UMJ181" s="23"/>
      <c r="UMK181" s="23"/>
      <c r="UML181" s="23"/>
      <c r="UMM181" s="23"/>
      <c r="UMN181" s="23"/>
      <c r="UMO181" s="23"/>
      <c r="UMP181" s="23"/>
      <c r="UMQ181" s="23"/>
      <c r="UMR181" s="23"/>
      <c r="UMS181" s="23"/>
      <c r="UMT181" s="23"/>
      <c r="UMU181" s="23"/>
      <c r="UMV181" s="23"/>
      <c r="UMW181" s="23"/>
      <c r="UMX181" s="23"/>
      <c r="UMY181" s="23"/>
      <c r="UMZ181" s="23"/>
      <c r="UNA181" s="23"/>
      <c r="UNB181" s="23"/>
      <c r="UNC181" s="23"/>
      <c r="UND181" s="23"/>
      <c r="UNE181" s="23"/>
      <c r="UNF181" s="23"/>
      <c r="UNG181" s="23"/>
      <c r="UNH181" s="23"/>
      <c r="UNI181" s="23"/>
      <c r="UNJ181" s="23"/>
      <c r="UNK181" s="23"/>
      <c r="UNL181" s="23"/>
      <c r="UNM181" s="23"/>
      <c r="UNN181" s="23"/>
      <c r="UNO181" s="23"/>
      <c r="UNP181" s="23"/>
      <c r="UNQ181" s="23"/>
      <c r="UNR181" s="23"/>
      <c r="UNS181" s="23"/>
      <c r="UNT181" s="23"/>
      <c r="UNU181" s="23"/>
      <c r="UNV181" s="23"/>
      <c r="UNW181" s="23"/>
      <c r="UNX181" s="23"/>
      <c r="UNY181" s="23"/>
      <c r="UNZ181" s="23"/>
      <c r="UOA181" s="23"/>
      <c r="UOB181" s="23"/>
      <c r="UOC181" s="23"/>
      <c r="UOD181" s="23"/>
      <c r="UOE181" s="23"/>
      <c r="UOF181" s="23"/>
      <c r="UOG181" s="23"/>
      <c r="UOH181" s="23"/>
      <c r="UOI181" s="23"/>
      <c r="UOJ181" s="23"/>
      <c r="UOK181" s="23"/>
      <c r="UOL181" s="23"/>
      <c r="UOM181" s="23"/>
      <c r="UON181" s="23"/>
      <c r="UOO181" s="23"/>
      <c r="UOP181" s="23"/>
      <c r="UOQ181" s="23"/>
      <c r="UOR181" s="23"/>
      <c r="UOS181" s="23"/>
      <c r="UOT181" s="23"/>
      <c r="UOU181" s="23"/>
      <c r="UOV181" s="23"/>
      <c r="UOW181" s="23"/>
      <c r="UOX181" s="23"/>
      <c r="UOY181" s="23"/>
      <c r="UOZ181" s="23"/>
      <c r="UPA181" s="23"/>
      <c r="UPB181" s="23"/>
      <c r="UPC181" s="23"/>
      <c r="UPD181" s="23"/>
      <c r="UPE181" s="23"/>
      <c r="UPF181" s="23"/>
      <c r="UPG181" s="23"/>
      <c r="UPH181" s="23"/>
      <c r="UPI181" s="23"/>
      <c r="UPJ181" s="23"/>
      <c r="UPK181" s="23"/>
      <c r="UPL181" s="23"/>
      <c r="UPM181" s="23"/>
      <c r="UPN181" s="23"/>
      <c r="UPO181" s="23"/>
      <c r="UPP181" s="23"/>
      <c r="UPQ181" s="23"/>
      <c r="UPR181" s="23"/>
      <c r="UPS181" s="23"/>
      <c r="UPT181" s="23"/>
      <c r="UPU181" s="23"/>
      <c r="UPV181" s="23"/>
      <c r="UPW181" s="23"/>
      <c r="UPX181" s="23"/>
      <c r="UPY181" s="23"/>
      <c r="UPZ181" s="23"/>
      <c r="UQA181" s="23"/>
      <c r="UQB181" s="23"/>
      <c r="UQC181" s="23"/>
      <c r="UQD181" s="23"/>
      <c r="UQE181" s="23"/>
      <c r="UQF181" s="23"/>
      <c r="UQG181" s="23"/>
      <c r="UQH181" s="23"/>
      <c r="UQI181" s="23"/>
      <c r="UQJ181" s="23"/>
      <c r="UQK181" s="23"/>
      <c r="UQL181" s="23"/>
      <c r="UQM181" s="23"/>
      <c r="UQN181" s="23"/>
      <c r="UQO181" s="23"/>
      <c r="UQP181" s="23"/>
      <c r="UQQ181" s="23"/>
      <c r="UQR181" s="23"/>
      <c r="UQS181" s="23"/>
      <c r="UQT181" s="23"/>
      <c r="UQU181" s="23"/>
      <c r="UQV181" s="23"/>
      <c r="UQW181" s="23"/>
      <c r="UQX181" s="23"/>
      <c r="UQY181" s="23"/>
      <c r="UQZ181" s="23"/>
      <c r="URA181" s="23"/>
      <c r="URB181" s="23"/>
      <c r="URC181" s="23"/>
      <c r="URD181" s="23"/>
      <c r="URE181" s="23"/>
      <c r="URF181" s="23"/>
      <c r="URG181" s="23"/>
      <c r="URH181" s="23"/>
      <c r="URI181" s="23"/>
      <c r="URJ181" s="23"/>
      <c r="URK181" s="23"/>
      <c r="URL181" s="23"/>
      <c r="URM181" s="23"/>
      <c r="URN181" s="23"/>
      <c r="URO181" s="23"/>
      <c r="URP181" s="23"/>
      <c r="URQ181" s="23"/>
      <c r="URR181" s="23"/>
      <c r="URS181" s="23"/>
      <c r="URT181" s="23"/>
      <c r="URU181" s="23"/>
      <c r="URV181" s="23"/>
      <c r="URW181" s="23"/>
      <c r="URX181" s="23"/>
      <c r="URY181" s="23"/>
      <c r="URZ181" s="23"/>
      <c r="USA181" s="23"/>
      <c r="USB181" s="23"/>
      <c r="USC181" s="23"/>
      <c r="USD181" s="23"/>
      <c r="USE181" s="23"/>
      <c r="USF181" s="23"/>
      <c r="USG181" s="23"/>
      <c r="USH181" s="23"/>
      <c r="USI181" s="23"/>
      <c r="USJ181" s="23"/>
      <c r="USK181" s="23"/>
      <c r="USL181" s="23"/>
      <c r="USM181" s="23"/>
      <c r="USN181" s="23"/>
      <c r="USO181" s="23"/>
      <c r="USP181" s="23"/>
      <c r="USQ181" s="23"/>
      <c r="USR181" s="23"/>
      <c r="USS181" s="23"/>
      <c r="UST181" s="23"/>
      <c r="USU181" s="23"/>
      <c r="USV181" s="23"/>
      <c r="USW181" s="23"/>
      <c r="USX181" s="23"/>
      <c r="USY181" s="23"/>
      <c r="USZ181" s="23"/>
      <c r="UTA181" s="23"/>
      <c r="UTB181" s="23"/>
      <c r="UTC181" s="23"/>
      <c r="UTD181" s="23"/>
      <c r="UTE181" s="23"/>
      <c r="UTF181" s="23"/>
      <c r="UTG181" s="23"/>
      <c r="UTH181" s="23"/>
      <c r="UTI181" s="23"/>
      <c r="UTJ181" s="23"/>
      <c r="UTK181" s="23"/>
      <c r="UTL181" s="23"/>
      <c r="UTM181" s="23"/>
      <c r="UTN181" s="23"/>
      <c r="UTO181" s="23"/>
      <c r="UTP181" s="23"/>
      <c r="UTQ181" s="23"/>
      <c r="UTR181" s="23"/>
      <c r="UTS181" s="23"/>
      <c r="UTT181" s="23"/>
      <c r="UTU181" s="23"/>
      <c r="UTV181" s="23"/>
      <c r="UTW181" s="23"/>
      <c r="UTX181" s="23"/>
      <c r="UTY181" s="23"/>
      <c r="UTZ181" s="23"/>
      <c r="UUA181" s="23"/>
      <c r="UUB181" s="23"/>
      <c r="UUC181" s="23"/>
      <c r="UUD181" s="23"/>
      <c r="UUE181" s="23"/>
      <c r="UUF181" s="23"/>
      <c r="UUG181" s="23"/>
      <c r="UUH181" s="23"/>
      <c r="UUI181" s="23"/>
      <c r="UUJ181" s="23"/>
      <c r="UUK181" s="23"/>
      <c r="UUL181" s="23"/>
      <c r="UUM181" s="23"/>
      <c r="UUN181" s="23"/>
      <c r="UUO181" s="23"/>
      <c r="UUP181" s="23"/>
      <c r="UUQ181" s="23"/>
      <c r="UUR181" s="23"/>
      <c r="UUS181" s="23"/>
      <c r="UUT181" s="23"/>
      <c r="UUU181" s="23"/>
      <c r="UUV181" s="23"/>
      <c r="UUW181" s="23"/>
      <c r="UUX181" s="23"/>
      <c r="UUY181" s="23"/>
      <c r="UUZ181" s="23"/>
      <c r="UVA181" s="23"/>
      <c r="UVB181" s="23"/>
      <c r="UVC181" s="23"/>
      <c r="UVD181" s="23"/>
      <c r="UVE181" s="23"/>
      <c r="UVF181" s="23"/>
      <c r="UVG181" s="23"/>
      <c r="UVH181" s="23"/>
      <c r="UVI181" s="23"/>
      <c r="UVJ181" s="23"/>
      <c r="UVK181" s="23"/>
      <c r="UVL181" s="23"/>
      <c r="UVM181" s="23"/>
      <c r="UVN181" s="23"/>
      <c r="UVO181" s="23"/>
      <c r="UVP181" s="23"/>
      <c r="UVQ181" s="23"/>
      <c r="UVR181" s="23"/>
      <c r="UVS181" s="23"/>
      <c r="UVT181" s="23"/>
      <c r="UVU181" s="23"/>
      <c r="UVV181" s="23"/>
      <c r="UVW181" s="23"/>
      <c r="UVX181" s="23"/>
      <c r="UVY181" s="23"/>
      <c r="UVZ181" s="23"/>
      <c r="UWA181" s="23"/>
      <c r="UWB181" s="23"/>
      <c r="UWC181" s="23"/>
      <c r="UWD181" s="23"/>
      <c r="UWE181" s="23"/>
      <c r="UWF181" s="23"/>
      <c r="UWG181" s="23"/>
      <c r="UWH181" s="23"/>
      <c r="UWI181" s="23"/>
      <c r="UWJ181" s="23"/>
      <c r="UWK181" s="23"/>
      <c r="UWL181" s="23"/>
      <c r="UWM181" s="23"/>
      <c r="UWN181" s="23"/>
      <c r="UWO181" s="23"/>
      <c r="UWP181" s="23"/>
      <c r="UWQ181" s="23"/>
      <c r="UWR181" s="23"/>
      <c r="UWS181" s="23"/>
      <c r="UWT181" s="23"/>
      <c r="UWU181" s="23"/>
      <c r="UWV181" s="23"/>
      <c r="UWW181" s="23"/>
      <c r="UWX181" s="23"/>
      <c r="UWY181" s="23"/>
      <c r="UWZ181" s="23"/>
      <c r="UXA181" s="23"/>
      <c r="UXB181" s="23"/>
      <c r="UXC181" s="23"/>
      <c r="UXD181" s="23"/>
      <c r="UXE181" s="23"/>
      <c r="UXF181" s="23"/>
      <c r="UXG181" s="23"/>
      <c r="UXH181" s="23"/>
      <c r="UXI181" s="23"/>
      <c r="UXJ181" s="23"/>
      <c r="UXK181" s="23"/>
      <c r="UXL181" s="23"/>
      <c r="UXM181" s="23"/>
      <c r="UXN181" s="23"/>
      <c r="UXO181" s="23"/>
      <c r="UXP181" s="23"/>
      <c r="UXQ181" s="23"/>
      <c r="UXR181" s="23"/>
      <c r="UXS181" s="23"/>
      <c r="UXT181" s="23"/>
      <c r="UXU181" s="23"/>
      <c r="UXV181" s="23"/>
      <c r="UXW181" s="23"/>
      <c r="UXX181" s="23"/>
      <c r="UXY181" s="23"/>
      <c r="UXZ181" s="23"/>
      <c r="UYA181" s="23"/>
      <c r="UYB181" s="23"/>
      <c r="UYC181" s="23"/>
      <c r="UYD181" s="23"/>
      <c r="UYE181" s="23"/>
      <c r="UYF181" s="23"/>
      <c r="UYG181" s="23"/>
      <c r="UYH181" s="23"/>
      <c r="UYI181" s="23"/>
      <c r="UYJ181" s="23"/>
      <c r="UYK181" s="23"/>
      <c r="UYL181" s="23"/>
      <c r="UYM181" s="23"/>
      <c r="UYN181" s="23"/>
      <c r="UYO181" s="23"/>
      <c r="UYP181" s="23"/>
      <c r="UYQ181" s="23"/>
      <c r="UYR181" s="23"/>
      <c r="UYS181" s="23"/>
      <c r="UYT181" s="23"/>
      <c r="UYU181" s="23"/>
      <c r="UYV181" s="23"/>
      <c r="UYW181" s="23"/>
      <c r="UYX181" s="23"/>
      <c r="UYY181" s="23"/>
      <c r="UYZ181" s="23"/>
      <c r="UZA181" s="23"/>
      <c r="UZB181" s="23"/>
      <c r="UZC181" s="23"/>
      <c r="UZD181" s="23"/>
      <c r="UZE181" s="23"/>
      <c r="UZF181" s="23"/>
      <c r="UZG181" s="23"/>
      <c r="UZH181" s="23"/>
      <c r="UZI181" s="23"/>
      <c r="UZJ181" s="23"/>
      <c r="UZK181" s="23"/>
      <c r="UZL181" s="23"/>
      <c r="UZM181" s="23"/>
      <c r="UZN181" s="23"/>
      <c r="UZO181" s="23"/>
      <c r="UZP181" s="23"/>
      <c r="UZQ181" s="23"/>
      <c r="UZR181" s="23"/>
      <c r="UZS181" s="23"/>
      <c r="UZT181" s="23"/>
      <c r="UZU181" s="23"/>
      <c r="UZV181" s="23"/>
      <c r="UZW181" s="23"/>
      <c r="UZX181" s="23"/>
      <c r="UZY181" s="23"/>
      <c r="UZZ181" s="23"/>
      <c r="VAA181" s="23"/>
      <c r="VAB181" s="23"/>
      <c r="VAC181" s="23"/>
      <c r="VAD181" s="23"/>
      <c r="VAE181" s="23"/>
      <c r="VAF181" s="23"/>
      <c r="VAG181" s="23"/>
      <c r="VAH181" s="23"/>
      <c r="VAI181" s="23"/>
      <c r="VAJ181" s="23"/>
      <c r="VAK181" s="23"/>
      <c r="VAL181" s="23"/>
      <c r="VAM181" s="23"/>
      <c r="VAN181" s="23"/>
      <c r="VAO181" s="23"/>
      <c r="VAP181" s="23"/>
      <c r="VAQ181" s="23"/>
      <c r="VAR181" s="23"/>
      <c r="VAS181" s="23"/>
      <c r="VAT181" s="23"/>
      <c r="VAU181" s="23"/>
      <c r="VAV181" s="23"/>
      <c r="VAW181" s="23"/>
      <c r="VAX181" s="23"/>
      <c r="VAY181" s="23"/>
      <c r="VAZ181" s="23"/>
      <c r="VBA181" s="23"/>
      <c r="VBB181" s="23"/>
      <c r="VBC181" s="23"/>
      <c r="VBD181" s="23"/>
      <c r="VBE181" s="23"/>
      <c r="VBF181" s="23"/>
      <c r="VBG181" s="23"/>
      <c r="VBH181" s="23"/>
      <c r="VBI181" s="23"/>
      <c r="VBJ181" s="23"/>
      <c r="VBK181" s="23"/>
      <c r="VBL181" s="23"/>
      <c r="VBM181" s="23"/>
      <c r="VBN181" s="23"/>
      <c r="VBO181" s="23"/>
      <c r="VBP181" s="23"/>
      <c r="VBQ181" s="23"/>
      <c r="VBR181" s="23"/>
      <c r="VBS181" s="23"/>
      <c r="VBT181" s="23"/>
      <c r="VBU181" s="23"/>
      <c r="VBV181" s="23"/>
      <c r="VBW181" s="23"/>
      <c r="VBX181" s="23"/>
      <c r="VBY181" s="23"/>
      <c r="VBZ181" s="23"/>
      <c r="VCA181" s="23"/>
      <c r="VCB181" s="23"/>
      <c r="VCC181" s="23"/>
      <c r="VCD181" s="23"/>
      <c r="VCE181" s="23"/>
      <c r="VCF181" s="23"/>
      <c r="VCG181" s="23"/>
      <c r="VCH181" s="23"/>
      <c r="VCI181" s="23"/>
      <c r="VCJ181" s="23"/>
      <c r="VCK181" s="23"/>
      <c r="VCL181" s="23"/>
      <c r="VCM181" s="23"/>
      <c r="VCN181" s="23"/>
      <c r="VCO181" s="23"/>
      <c r="VCP181" s="23"/>
      <c r="VCQ181" s="23"/>
      <c r="VCR181" s="23"/>
      <c r="VCS181" s="23"/>
      <c r="VCT181" s="23"/>
      <c r="VCU181" s="23"/>
      <c r="VCV181" s="23"/>
      <c r="VCW181" s="23"/>
      <c r="VCX181" s="23"/>
      <c r="VCY181" s="23"/>
      <c r="VCZ181" s="23"/>
      <c r="VDA181" s="23"/>
      <c r="VDB181" s="23"/>
      <c r="VDC181" s="23"/>
      <c r="VDD181" s="23"/>
      <c r="VDE181" s="23"/>
      <c r="VDF181" s="23"/>
      <c r="VDG181" s="23"/>
      <c r="VDH181" s="23"/>
      <c r="VDI181" s="23"/>
      <c r="VDJ181" s="23"/>
      <c r="VDK181" s="23"/>
      <c r="VDL181" s="23"/>
      <c r="VDM181" s="23"/>
      <c r="VDN181" s="23"/>
      <c r="VDO181" s="23"/>
      <c r="VDP181" s="23"/>
      <c r="VDQ181" s="23"/>
      <c r="VDR181" s="23"/>
      <c r="VDS181" s="23"/>
      <c r="VDT181" s="23"/>
      <c r="VDU181" s="23"/>
      <c r="VDV181" s="23"/>
      <c r="VDW181" s="23"/>
      <c r="VDX181" s="23"/>
      <c r="VDY181" s="23"/>
      <c r="VDZ181" s="23"/>
      <c r="VEA181" s="23"/>
      <c r="VEB181" s="23"/>
      <c r="VEC181" s="23"/>
      <c r="VED181" s="23"/>
      <c r="VEE181" s="23"/>
      <c r="VEF181" s="23"/>
      <c r="VEG181" s="23"/>
      <c r="VEH181" s="23"/>
      <c r="VEI181" s="23"/>
      <c r="VEJ181" s="23"/>
      <c r="VEK181" s="23"/>
      <c r="VEL181" s="23"/>
      <c r="VEM181" s="23"/>
      <c r="VEN181" s="23"/>
      <c r="VEO181" s="23"/>
      <c r="VEP181" s="23"/>
      <c r="VEQ181" s="23"/>
      <c r="VER181" s="23"/>
      <c r="VES181" s="23"/>
      <c r="VET181" s="23"/>
      <c r="VEU181" s="23"/>
      <c r="VEV181" s="23"/>
      <c r="VEW181" s="23"/>
      <c r="VEX181" s="23"/>
      <c r="VEY181" s="23"/>
      <c r="VEZ181" s="23"/>
      <c r="VFA181" s="23"/>
      <c r="VFB181" s="23"/>
      <c r="VFC181" s="23"/>
      <c r="VFD181" s="23"/>
      <c r="VFE181" s="23"/>
      <c r="VFF181" s="23"/>
      <c r="VFG181" s="23"/>
      <c r="VFH181" s="23"/>
      <c r="VFI181" s="23"/>
      <c r="VFJ181" s="23"/>
      <c r="VFK181" s="23"/>
      <c r="VFL181" s="23"/>
      <c r="VFM181" s="23"/>
      <c r="VFN181" s="23"/>
      <c r="VFO181" s="23"/>
      <c r="VFP181" s="23"/>
      <c r="VFQ181" s="23"/>
      <c r="VFR181" s="23"/>
      <c r="VFS181" s="23"/>
      <c r="VFT181" s="23"/>
      <c r="VFU181" s="23"/>
      <c r="VFV181" s="23"/>
      <c r="VFW181" s="23"/>
      <c r="VFX181" s="23"/>
      <c r="VFY181" s="23"/>
      <c r="VFZ181" s="23"/>
      <c r="VGA181" s="23"/>
      <c r="VGB181" s="23"/>
      <c r="VGC181" s="23"/>
      <c r="VGD181" s="23"/>
      <c r="VGE181" s="23"/>
      <c r="VGF181" s="23"/>
      <c r="VGG181" s="23"/>
      <c r="VGH181" s="23"/>
      <c r="VGI181" s="23"/>
      <c r="VGJ181" s="23"/>
      <c r="VGK181" s="23"/>
      <c r="VGL181" s="23"/>
      <c r="VGM181" s="23"/>
      <c r="VGN181" s="23"/>
      <c r="VGO181" s="23"/>
      <c r="VGP181" s="23"/>
      <c r="VGQ181" s="23"/>
      <c r="VGR181" s="23"/>
      <c r="VGS181" s="23"/>
      <c r="VGT181" s="23"/>
      <c r="VGU181" s="23"/>
      <c r="VGV181" s="23"/>
      <c r="VGW181" s="23"/>
      <c r="VGX181" s="23"/>
      <c r="VGY181" s="23"/>
      <c r="VGZ181" s="23"/>
      <c r="VHA181" s="23"/>
      <c r="VHB181" s="23"/>
      <c r="VHC181" s="23"/>
      <c r="VHD181" s="23"/>
      <c r="VHE181" s="23"/>
      <c r="VHF181" s="23"/>
      <c r="VHG181" s="23"/>
      <c r="VHH181" s="23"/>
      <c r="VHI181" s="23"/>
      <c r="VHJ181" s="23"/>
      <c r="VHK181" s="23"/>
      <c r="VHL181" s="23"/>
      <c r="VHM181" s="23"/>
      <c r="VHN181" s="23"/>
      <c r="VHO181" s="23"/>
      <c r="VHP181" s="23"/>
      <c r="VHQ181" s="23"/>
      <c r="VHR181" s="23"/>
      <c r="VHS181" s="23"/>
      <c r="VHT181" s="23"/>
      <c r="VHU181" s="23"/>
      <c r="VHV181" s="23"/>
      <c r="VHW181" s="23"/>
      <c r="VHX181" s="23"/>
      <c r="VHY181" s="23"/>
      <c r="VHZ181" s="23"/>
      <c r="VIA181" s="23"/>
      <c r="VIB181" s="23"/>
      <c r="VIC181" s="23"/>
      <c r="VID181" s="23"/>
      <c r="VIE181" s="23"/>
      <c r="VIF181" s="23"/>
      <c r="VIG181" s="23"/>
      <c r="VIH181" s="23"/>
      <c r="VII181" s="23"/>
      <c r="VIJ181" s="23"/>
      <c r="VIK181" s="23"/>
      <c r="VIL181" s="23"/>
      <c r="VIM181" s="23"/>
      <c r="VIN181" s="23"/>
      <c r="VIO181" s="23"/>
      <c r="VIP181" s="23"/>
      <c r="VIQ181" s="23"/>
      <c r="VIR181" s="23"/>
      <c r="VIS181" s="23"/>
      <c r="VIT181" s="23"/>
      <c r="VIU181" s="23"/>
      <c r="VIV181" s="23"/>
      <c r="VIW181" s="23"/>
      <c r="VIX181" s="23"/>
      <c r="VIY181" s="23"/>
      <c r="VIZ181" s="23"/>
      <c r="VJA181" s="23"/>
      <c r="VJB181" s="23"/>
      <c r="VJC181" s="23"/>
      <c r="VJD181" s="23"/>
      <c r="VJE181" s="23"/>
      <c r="VJF181" s="23"/>
      <c r="VJG181" s="23"/>
      <c r="VJH181" s="23"/>
      <c r="VJI181" s="23"/>
      <c r="VJJ181" s="23"/>
      <c r="VJK181" s="23"/>
      <c r="VJL181" s="23"/>
      <c r="VJM181" s="23"/>
      <c r="VJN181" s="23"/>
      <c r="VJO181" s="23"/>
      <c r="VJP181" s="23"/>
      <c r="VJQ181" s="23"/>
      <c r="VJR181" s="23"/>
      <c r="VJS181" s="23"/>
      <c r="VJT181" s="23"/>
      <c r="VJU181" s="23"/>
      <c r="VJV181" s="23"/>
      <c r="VJW181" s="23"/>
      <c r="VJX181" s="23"/>
      <c r="VJY181" s="23"/>
      <c r="VJZ181" s="23"/>
      <c r="VKA181" s="23"/>
      <c r="VKB181" s="23"/>
      <c r="VKC181" s="23"/>
      <c r="VKD181" s="23"/>
      <c r="VKE181" s="23"/>
      <c r="VKF181" s="23"/>
      <c r="VKG181" s="23"/>
      <c r="VKH181" s="23"/>
      <c r="VKI181" s="23"/>
      <c r="VKJ181" s="23"/>
      <c r="VKK181" s="23"/>
      <c r="VKL181" s="23"/>
      <c r="VKM181" s="23"/>
      <c r="VKN181" s="23"/>
      <c r="VKO181" s="23"/>
      <c r="VKP181" s="23"/>
      <c r="VKQ181" s="23"/>
      <c r="VKR181" s="23"/>
      <c r="VKS181" s="23"/>
      <c r="VKT181" s="23"/>
      <c r="VKU181" s="23"/>
      <c r="VKV181" s="23"/>
      <c r="VKW181" s="23"/>
      <c r="VKX181" s="23"/>
      <c r="VKY181" s="23"/>
      <c r="VKZ181" s="23"/>
      <c r="VLA181" s="23"/>
      <c r="VLB181" s="23"/>
      <c r="VLC181" s="23"/>
      <c r="VLD181" s="23"/>
      <c r="VLE181" s="23"/>
      <c r="VLF181" s="23"/>
      <c r="VLG181" s="23"/>
      <c r="VLH181" s="23"/>
      <c r="VLI181" s="23"/>
      <c r="VLJ181" s="23"/>
      <c r="VLK181" s="23"/>
      <c r="VLL181" s="23"/>
      <c r="VLM181" s="23"/>
      <c r="VLN181" s="23"/>
      <c r="VLO181" s="23"/>
      <c r="VLP181" s="23"/>
      <c r="VLQ181" s="23"/>
      <c r="VLR181" s="23"/>
      <c r="VLS181" s="23"/>
      <c r="VLT181" s="23"/>
      <c r="VLU181" s="23"/>
      <c r="VLV181" s="23"/>
      <c r="VLW181" s="23"/>
      <c r="VLX181" s="23"/>
      <c r="VLY181" s="23"/>
      <c r="VLZ181" s="23"/>
      <c r="VMA181" s="23"/>
      <c r="VMB181" s="23"/>
      <c r="VMC181" s="23"/>
      <c r="VMD181" s="23"/>
      <c r="VME181" s="23"/>
      <c r="VMF181" s="23"/>
      <c r="VMG181" s="23"/>
      <c r="VMH181" s="23"/>
      <c r="VMI181" s="23"/>
      <c r="VMJ181" s="23"/>
      <c r="VMK181" s="23"/>
      <c r="VML181" s="23"/>
      <c r="VMM181" s="23"/>
      <c r="VMN181" s="23"/>
      <c r="VMO181" s="23"/>
      <c r="VMP181" s="23"/>
      <c r="VMQ181" s="23"/>
      <c r="VMR181" s="23"/>
      <c r="VMS181" s="23"/>
      <c r="VMT181" s="23"/>
      <c r="VMU181" s="23"/>
      <c r="VMV181" s="23"/>
      <c r="VMW181" s="23"/>
      <c r="VMX181" s="23"/>
      <c r="VMY181" s="23"/>
      <c r="VMZ181" s="23"/>
      <c r="VNA181" s="23"/>
      <c r="VNB181" s="23"/>
      <c r="VNC181" s="23"/>
      <c r="VND181" s="23"/>
      <c r="VNE181" s="23"/>
      <c r="VNF181" s="23"/>
      <c r="VNG181" s="23"/>
      <c r="VNH181" s="23"/>
      <c r="VNI181" s="23"/>
      <c r="VNJ181" s="23"/>
      <c r="VNK181" s="23"/>
      <c r="VNL181" s="23"/>
      <c r="VNM181" s="23"/>
      <c r="VNN181" s="23"/>
      <c r="VNO181" s="23"/>
      <c r="VNP181" s="23"/>
      <c r="VNQ181" s="23"/>
      <c r="VNR181" s="23"/>
      <c r="VNS181" s="23"/>
      <c r="VNT181" s="23"/>
      <c r="VNU181" s="23"/>
      <c r="VNV181" s="23"/>
      <c r="VNW181" s="23"/>
      <c r="VNX181" s="23"/>
      <c r="VNY181" s="23"/>
      <c r="VNZ181" s="23"/>
      <c r="VOA181" s="23"/>
      <c r="VOB181" s="23"/>
      <c r="VOC181" s="23"/>
      <c r="VOD181" s="23"/>
      <c r="VOE181" s="23"/>
      <c r="VOF181" s="23"/>
      <c r="VOG181" s="23"/>
      <c r="VOH181" s="23"/>
      <c r="VOI181" s="23"/>
      <c r="VOJ181" s="23"/>
      <c r="VOK181" s="23"/>
      <c r="VOL181" s="23"/>
      <c r="VOM181" s="23"/>
      <c r="VON181" s="23"/>
      <c r="VOO181" s="23"/>
      <c r="VOP181" s="23"/>
      <c r="VOQ181" s="23"/>
      <c r="VOR181" s="23"/>
      <c r="VOS181" s="23"/>
      <c r="VOT181" s="23"/>
      <c r="VOU181" s="23"/>
      <c r="VOV181" s="23"/>
      <c r="VOW181" s="23"/>
      <c r="VOX181" s="23"/>
      <c r="VOY181" s="23"/>
      <c r="VOZ181" s="23"/>
      <c r="VPA181" s="23"/>
      <c r="VPB181" s="23"/>
      <c r="VPC181" s="23"/>
      <c r="VPD181" s="23"/>
      <c r="VPE181" s="23"/>
      <c r="VPF181" s="23"/>
      <c r="VPG181" s="23"/>
      <c r="VPH181" s="23"/>
      <c r="VPI181" s="23"/>
      <c r="VPJ181" s="23"/>
      <c r="VPK181" s="23"/>
      <c r="VPL181" s="23"/>
      <c r="VPM181" s="23"/>
      <c r="VPN181" s="23"/>
      <c r="VPO181" s="23"/>
      <c r="VPP181" s="23"/>
      <c r="VPQ181" s="23"/>
      <c r="VPR181" s="23"/>
      <c r="VPS181" s="23"/>
      <c r="VPT181" s="23"/>
      <c r="VPU181" s="23"/>
      <c r="VPV181" s="23"/>
      <c r="VPW181" s="23"/>
      <c r="VPX181" s="23"/>
      <c r="VPY181" s="23"/>
      <c r="VPZ181" s="23"/>
      <c r="VQA181" s="23"/>
      <c r="VQB181" s="23"/>
      <c r="VQC181" s="23"/>
      <c r="VQD181" s="23"/>
      <c r="VQE181" s="23"/>
      <c r="VQF181" s="23"/>
      <c r="VQG181" s="23"/>
      <c r="VQH181" s="23"/>
      <c r="VQI181" s="23"/>
      <c r="VQJ181" s="23"/>
      <c r="VQK181" s="23"/>
      <c r="VQL181" s="23"/>
      <c r="VQM181" s="23"/>
      <c r="VQN181" s="23"/>
      <c r="VQO181" s="23"/>
      <c r="VQP181" s="23"/>
      <c r="VQQ181" s="23"/>
      <c r="VQR181" s="23"/>
      <c r="VQS181" s="23"/>
      <c r="VQT181" s="23"/>
      <c r="VQU181" s="23"/>
      <c r="VQV181" s="23"/>
      <c r="VQW181" s="23"/>
      <c r="VQX181" s="23"/>
      <c r="VQY181" s="23"/>
      <c r="VQZ181" s="23"/>
      <c r="VRA181" s="23"/>
      <c r="VRB181" s="23"/>
      <c r="VRC181" s="23"/>
      <c r="VRD181" s="23"/>
      <c r="VRE181" s="23"/>
      <c r="VRF181" s="23"/>
      <c r="VRG181" s="23"/>
      <c r="VRH181" s="23"/>
      <c r="VRI181" s="23"/>
      <c r="VRJ181" s="23"/>
      <c r="VRK181" s="23"/>
      <c r="VRL181" s="23"/>
      <c r="VRM181" s="23"/>
      <c r="VRN181" s="23"/>
      <c r="VRO181" s="23"/>
      <c r="VRP181" s="23"/>
      <c r="VRQ181" s="23"/>
      <c r="VRR181" s="23"/>
      <c r="VRS181" s="23"/>
      <c r="VRT181" s="23"/>
      <c r="VRU181" s="23"/>
      <c r="VRV181" s="23"/>
      <c r="VRW181" s="23"/>
      <c r="VRX181" s="23"/>
      <c r="VRY181" s="23"/>
      <c r="VRZ181" s="23"/>
      <c r="VSA181" s="23"/>
      <c r="VSB181" s="23"/>
      <c r="VSC181" s="23"/>
      <c r="VSD181" s="23"/>
      <c r="VSE181" s="23"/>
      <c r="VSF181" s="23"/>
      <c r="VSG181" s="23"/>
      <c r="VSH181" s="23"/>
      <c r="VSI181" s="23"/>
      <c r="VSJ181" s="23"/>
      <c r="VSK181" s="23"/>
      <c r="VSL181" s="23"/>
      <c r="VSM181" s="23"/>
      <c r="VSN181" s="23"/>
      <c r="VSO181" s="23"/>
      <c r="VSP181" s="23"/>
      <c r="VSQ181" s="23"/>
      <c r="VSR181" s="23"/>
      <c r="VSS181" s="23"/>
      <c r="VST181" s="23"/>
      <c r="VSU181" s="23"/>
      <c r="VSV181" s="23"/>
      <c r="VSW181" s="23"/>
      <c r="VSX181" s="23"/>
      <c r="VSY181" s="23"/>
      <c r="VSZ181" s="23"/>
      <c r="VTA181" s="23"/>
      <c r="VTB181" s="23"/>
      <c r="VTC181" s="23"/>
      <c r="VTD181" s="23"/>
      <c r="VTE181" s="23"/>
      <c r="VTF181" s="23"/>
      <c r="VTG181" s="23"/>
      <c r="VTH181" s="23"/>
      <c r="VTI181" s="23"/>
      <c r="VTJ181" s="23"/>
      <c r="VTK181" s="23"/>
      <c r="VTL181" s="23"/>
      <c r="VTM181" s="23"/>
      <c r="VTN181" s="23"/>
      <c r="VTO181" s="23"/>
      <c r="VTP181" s="23"/>
      <c r="VTQ181" s="23"/>
      <c r="VTR181" s="23"/>
      <c r="VTS181" s="23"/>
      <c r="VTT181" s="23"/>
      <c r="VTU181" s="23"/>
      <c r="VTV181" s="23"/>
      <c r="VTW181" s="23"/>
      <c r="VTX181" s="23"/>
      <c r="VTY181" s="23"/>
      <c r="VTZ181" s="23"/>
      <c r="VUA181" s="23"/>
      <c r="VUB181" s="23"/>
      <c r="VUC181" s="23"/>
      <c r="VUD181" s="23"/>
      <c r="VUE181" s="23"/>
      <c r="VUF181" s="23"/>
      <c r="VUG181" s="23"/>
      <c r="VUH181" s="23"/>
      <c r="VUI181" s="23"/>
      <c r="VUJ181" s="23"/>
      <c r="VUK181" s="23"/>
      <c r="VUL181" s="23"/>
      <c r="VUM181" s="23"/>
      <c r="VUN181" s="23"/>
      <c r="VUO181" s="23"/>
      <c r="VUP181" s="23"/>
      <c r="VUQ181" s="23"/>
      <c r="VUR181" s="23"/>
      <c r="VUS181" s="23"/>
      <c r="VUT181" s="23"/>
      <c r="VUU181" s="23"/>
      <c r="VUV181" s="23"/>
      <c r="VUW181" s="23"/>
      <c r="VUX181" s="23"/>
      <c r="VUY181" s="23"/>
      <c r="VUZ181" s="23"/>
      <c r="VVA181" s="23"/>
      <c r="VVB181" s="23"/>
      <c r="VVC181" s="23"/>
      <c r="VVD181" s="23"/>
      <c r="VVE181" s="23"/>
      <c r="VVF181" s="23"/>
      <c r="VVG181" s="23"/>
      <c r="VVH181" s="23"/>
      <c r="VVI181" s="23"/>
      <c r="VVJ181" s="23"/>
      <c r="VVK181" s="23"/>
      <c r="VVL181" s="23"/>
      <c r="VVM181" s="23"/>
      <c r="VVN181" s="23"/>
      <c r="VVO181" s="23"/>
      <c r="VVP181" s="23"/>
      <c r="VVQ181" s="23"/>
      <c r="VVR181" s="23"/>
      <c r="VVS181" s="23"/>
      <c r="VVT181" s="23"/>
      <c r="VVU181" s="23"/>
      <c r="VVV181" s="23"/>
      <c r="VVW181" s="23"/>
      <c r="VVX181" s="23"/>
      <c r="VVY181" s="23"/>
      <c r="VVZ181" s="23"/>
      <c r="VWA181" s="23"/>
      <c r="VWB181" s="23"/>
      <c r="VWC181" s="23"/>
      <c r="VWD181" s="23"/>
      <c r="VWE181" s="23"/>
      <c r="VWF181" s="23"/>
      <c r="VWG181" s="23"/>
      <c r="VWH181" s="23"/>
      <c r="VWI181" s="23"/>
      <c r="VWJ181" s="23"/>
      <c r="VWK181" s="23"/>
      <c r="VWL181" s="23"/>
      <c r="VWM181" s="23"/>
      <c r="VWN181" s="23"/>
      <c r="VWO181" s="23"/>
      <c r="VWP181" s="23"/>
      <c r="VWQ181" s="23"/>
      <c r="VWR181" s="23"/>
      <c r="VWS181" s="23"/>
      <c r="VWT181" s="23"/>
      <c r="VWU181" s="23"/>
      <c r="VWV181" s="23"/>
      <c r="VWW181" s="23"/>
      <c r="VWX181" s="23"/>
      <c r="VWY181" s="23"/>
      <c r="VWZ181" s="23"/>
      <c r="VXA181" s="23"/>
      <c r="VXB181" s="23"/>
      <c r="VXC181" s="23"/>
      <c r="VXD181" s="23"/>
      <c r="VXE181" s="23"/>
      <c r="VXF181" s="23"/>
      <c r="VXG181" s="23"/>
      <c r="VXH181" s="23"/>
      <c r="VXI181" s="23"/>
      <c r="VXJ181" s="23"/>
      <c r="VXK181" s="23"/>
      <c r="VXL181" s="23"/>
      <c r="VXM181" s="23"/>
      <c r="VXN181" s="23"/>
      <c r="VXO181" s="23"/>
      <c r="VXP181" s="23"/>
      <c r="VXQ181" s="23"/>
      <c r="VXR181" s="23"/>
      <c r="VXS181" s="23"/>
      <c r="VXT181" s="23"/>
      <c r="VXU181" s="23"/>
      <c r="VXV181" s="23"/>
      <c r="VXW181" s="23"/>
      <c r="VXX181" s="23"/>
      <c r="VXY181" s="23"/>
      <c r="VXZ181" s="23"/>
      <c r="VYA181" s="23"/>
      <c r="VYB181" s="23"/>
      <c r="VYC181" s="23"/>
      <c r="VYD181" s="23"/>
      <c r="VYE181" s="23"/>
      <c r="VYF181" s="23"/>
      <c r="VYG181" s="23"/>
      <c r="VYH181" s="23"/>
      <c r="VYI181" s="23"/>
      <c r="VYJ181" s="23"/>
      <c r="VYK181" s="23"/>
      <c r="VYL181" s="23"/>
      <c r="VYM181" s="23"/>
      <c r="VYN181" s="23"/>
      <c r="VYO181" s="23"/>
      <c r="VYP181" s="23"/>
      <c r="VYQ181" s="23"/>
      <c r="VYR181" s="23"/>
      <c r="VYS181" s="23"/>
      <c r="VYT181" s="23"/>
      <c r="VYU181" s="23"/>
      <c r="VYV181" s="23"/>
      <c r="VYW181" s="23"/>
      <c r="VYX181" s="23"/>
      <c r="VYY181" s="23"/>
      <c r="VYZ181" s="23"/>
      <c r="VZA181" s="23"/>
      <c r="VZB181" s="23"/>
      <c r="VZC181" s="23"/>
      <c r="VZD181" s="23"/>
      <c r="VZE181" s="23"/>
      <c r="VZF181" s="23"/>
      <c r="VZG181" s="23"/>
      <c r="VZH181" s="23"/>
      <c r="VZI181" s="23"/>
      <c r="VZJ181" s="23"/>
      <c r="VZK181" s="23"/>
      <c r="VZL181" s="23"/>
      <c r="VZM181" s="23"/>
      <c r="VZN181" s="23"/>
      <c r="VZO181" s="23"/>
      <c r="VZP181" s="23"/>
      <c r="VZQ181" s="23"/>
      <c r="VZR181" s="23"/>
      <c r="VZS181" s="23"/>
      <c r="VZT181" s="23"/>
      <c r="VZU181" s="23"/>
      <c r="VZV181" s="23"/>
      <c r="VZW181" s="23"/>
      <c r="VZX181" s="23"/>
      <c r="VZY181" s="23"/>
      <c r="VZZ181" s="23"/>
      <c r="WAA181" s="23"/>
      <c r="WAB181" s="23"/>
      <c r="WAC181" s="23"/>
      <c r="WAD181" s="23"/>
      <c r="WAE181" s="23"/>
      <c r="WAF181" s="23"/>
      <c r="WAG181" s="23"/>
      <c r="WAH181" s="23"/>
      <c r="WAI181" s="23"/>
      <c r="WAJ181" s="23"/>
      <c r="WAK181" s="23"/>
      <c r="WAL181" s="23"/>
      <c r="WAM181" s="23"/>
      <c r="WAN181" s="23"/>
      <c r="WAO181" s="23"/>
      <c r="WAP181" s="23"/>
      <c r="WAQ181" s="23"/>
      <c r="WAR181" s="23"/>
      <c r="WAS181" s="23"/>
      <c r="WAT181" s="23"/>
      <c r="WAU181" s="23"/>
      <c r="WAV181" s="23"/>
      <c r="WAW181" s="23"/>
      <c r="WAX181" s="23"/>
      <c r="WAY181" s="23"/>
      <c r="WAZ181" s="23"/>
      <c r="WBA181" s="23"/>
      <c r="WBB181" s="23"/>
      <c r="WBC181" s="23"/>
      <c r="WBD181" s="23"/>
      <c r="WBE181" s="23"/>
      <c r="WBF181" s="23"/>
      <c r="WBG181" s="23"/>
      <c r="WBH181" s="23"/>
      <c r="WBI181" s="23"/>
      <c r="WBJ181" s="23"/>
      <c r="WBK181" s="23"/>
      <c r="WBL181" s="23"/>
      <c r="WBM181" s="23"/>
      <c r="WBN181" s="23"/>
      <c r="WBO181" s="23"/>
      <c r="WBP181" s="23"/>
      <c r="WBQ181" s="23"/>
      <c r="WBR181" s="23"/>
      <c r="WBS181" s="23"/>
      <c r="WBT181" s="23"/>
      <c r="WBU181" s="23"/>
      <c r="WBV181" s="23"/>
      <c r="WBW181" s="23"/>
      <c r="WBX181" s="23"/>
      <c r="WBY181" s="23"/>
      <c r="WBZ181" s="23"/>
      <c r="WCA181" s="23"/>
      <c r="WCB181" s="23"/>
      <c r="WCC181" s="23"/>
      <c r="WCD181" s="23"/>
      <c r="WCE181" s="23"/>
      <c r="WCF181" s="23"/>
      <c r="WCG181" s="23"/>
      <c r="WCH181" s="23"/>
      <c r="WCI181" s="23"/>
      <c r="WCJ181" s="23"/>
      <c r="WCK181" s="23"/>
      <c r="WCL181" s="23"/>
      <c r="WCM181" s="23"/>
      <c r="WCN181" s="23"/>
      <c r="WCO181" s="23"/>
      <c r="WCP181" s="23"/>
      <c r="WCQ181" s="23"/>
      <c r="WCR181" s="23"/>
      <c r="WCS181" s="23"/>
      <c r="WCT181" s="23"/>
      <c r="WCU181" s="23"/>
      <c r="WCV181" s="23"/>
      <c r="WCW181" s="23"/>
      <c r="WCX181" s="23"/>
      <c r="WCY181" s="23"/>
      <c r="WCZ181" s="23"/>
      <c r="WDA181" s="23"/>
      <c r="WDB181" s="23"/>
      <c r="WDC181" s="23"/>
      <c r="WDD181" s="23"/>
      <c r="WDE181" s="23"/>
      <c r="WDF181" s="23"/>
      <c r="WDG181" s="23"/>
      <c r="WDH181" s="23"/>
      <c r="WDI181" s="23"/>
      <c r="WDJ181" s="23"/>
      <c r="WDK181" s="23"/>
      <c r="WDL181" s="23"/>
      <c r="WDM181" s="23"/>
      <c r="WDN181" s="23"/>
      <c r="WDO181" s="23"/>
      <c r="WDP181" s="23"/>
      <c r="WDQ181" s="23"/>
      <c r="WDR181" s="23"/>
      <c r="WDS181" s="23"/>
      <c r="WDT181" s="23"/>
      <c r="WDU181" s="23"/>
      <c r="WDV181" s="23"/>
      <c r="WDW181" s="23"/>
      <c r="WDX181" s="23"/>
      <c r="WDY181" s="23"/>
      <c r="WDZ181" s="23"/>
      <c r="WEA181" s="23"/>
      <c r="WEB181" s="23"/>
      <c r="WEC181" s="23"/>
      <c r="WED181" s="23"/>
      <c r="WEE181" s="23"/>
      <c r="WEF181" s="23"/>
      <c r="WEG181" s="23"/>
      <c r="WEH181" s="23"/>
      <c r="WEI181" s="23"/>
      <c r="WEJ181" s="23"/>
      <c r="WEK181" s="23"/>
      <c r="WEL181" s="23"/>
      <c r="WEM181" s="23"/>
      <c r="WEN181" s="23"/>
      <c r="WEO181" s="23"/>
      <c r="WEP181" s="23"/>
      <c r="WEQ181" s="23"/>
      <c r="WER181" s="23"/>
      <c r="WES181" s="23"/>
      <c r="WET181" s="23"/>
      <c r="WEU181" s="23"/>
      <c r="WEV181" s="23"/>
      <c r="WEW181" s="23"/>
      <c r="WEX181" s="23"/>
      <c r="WEY181" s="23"/>
      <c r="WEZ181" s="23"/>
      <c r="WFA181" s="23"/>
      <c r="WFB181" s="23"/>
      <c r="WFC181" s="23"/>
      <c r="WFD181" s="23"/>
      <c r="WFE181" s="23"/>
      <c r="WFF181" s="23"/>
      <c r="WFG181" s="23"/>
      <c r="WFH181" s="23"/>
      <c r="WFI181" s="23"/>
      <c r="WFJ181" s="23"/>
      <c r="WFK181" s="23"/>
      <c r="WFL181" s="23"/>
      <c r="WFM181" s="23"/>
      <c r="WFN181" s="23"/>
      <c r="WFO181" s="23"/>
      <c r="WFP181" s="23"/>
      <c r="WFQ181" s="23"/>
      <c r="WFR181" s="23"/>
      <c r="WFS181" s="23"/>
      <c r="WFT181" s="23"/>
      <c r="WFU181" s="23"/>
      <c r="WFV181" s="23"/>
      <c r="WFW181" s="23"/>
      <c r="WFX181" s="23"/>
      <c r="WFY181" s="23"/>
      <c r="WFZ181" s="23"/>
      <c r="WGA181" s="23"/>
      <c r="WGB181" s="23"/>
      <c r="WGC181" s="23"/>
      <c r="WGD181" s="23"/>
      <c r="WGE181" s="23"/>
      <c r="WGF181" s="23"/>
      <c r="WGG181" s="23"/>
      <c r="WGH181" s="23"/>
      <c r="WGI181" s="23"/>
      <c r="WGJ181" s="23"/>
      <c r="WGK181" s="23"/>
      <c r="WGL181" s="23"/>
      <c r="WGM181" s="23"/>
      <c r="WGN181" s="23"/>
      <c r="WGO181" s="23"/>
      <c r="WGP181" s="23"/>
      <c r="WGQ181" s="23"/>
      <c r="WGR181" s="23"/>
      <c r="WGS181" s="23"/>
      <c r="WGT181" s="23"/>
      <c r="WGU181" s="23"/>
      <c r="WGV181" s="23"/>
      <c r="WGW181" s="23"/>
      <c r="WGX181" s="23"/>
      <c r="WGY181" s="23"/>
      <c r="WGZ181" s="23"/>
      <c r="WHA181" s="23"/>
      <c r="WHB181" s="23"/>
      <c r="WHC181" s="23"/>
      <c r="WHD181" s="23"/>
      <c r="WHE181" s="23"/>
      <c r="WHF181" s="23"/>
      <c r="WHG181" s="23"/>
      <c r="WHH181" s="23"/>
      <c r="WHI181" s="23"/>
      <c r="WHJ181" s="23"/>
      <c r="WHK181" s="23"/>
      <c r="WHL181" s="23"/>
      <c r="WHM181" s="23"/>
      <c r="WHN181" s="23"/>
      <c r="WHO181" s="23"/>
      <c r="WHP181" s="23"/>
      <c r="WHQ181" s="23"/>
      <c r="WHR181" s="23"/>
      <c r="WHS181" s="23"/>
      <c r="WHT181" s="23"/>
      <c r="WHU181" s="23"/>
      <c r="WHV181" s="23"/>
      <c r="WHW181" s="23"/>
      <c r="WHX181" s="23"/>
      <c r="WHY181" s="23"/>
      <c r="WHZ181" s="23"/>
      <c r="WIA181" s="23"/>
      <c r="WIB181" s="23"/>
      <c r="WIC181" s="23"/>
      <c r="WID181" s="23"/>
      <c r="WIE181" s="23"/>
      <c r="WIF181" s="23"/>
      <c r="WIG181" s="23"/>
      <c r="WIH181" s="23"/>
      <c r="WII181" s="23"/>
      <c r="WIJ181" s="23"/>
      <c r="WIK181" s="23"/>
      <c r="WIL181" s="23"/>
      <c r="WIM181" s="23"/>
      <c r="WIN181" s="23"/>
      <c r="WIO181" s="23"/>
      <c r="WIP181" s="23"/>
      <c r="WIQ181" s="23"/>
      <c r="WIR181" s="23"/>
      <c r="WIS181" s="23"/>
      <c r="WIT181" s="23"/>
      <c r="WIU181" s="23"/>
      <c r="WIV181" s="23"/>
      <c r="WIW181" s="23"/>
      <c r="WIX181" s="23"/>
      <c r="WIY181" s="23"/>
      <c r="WIZ181" s="23"/>
      <c r="WJA181" s="23"/>
      <c r="WJB181" s="23"/>
      <c r="WJC181" s="23"/>
      <c r="WJD181" s="23"/>
      <c r="WJE181" s="23"/>
      <c r="WJF181" s="23"/>
      <c r="WJG181" s="23"/>
      <c r="WJH181" s="23"/>
      <c r="WJI181" s="23"/>
      <c r="WJJ181" s="23"/>
      <c r="WJK181" s="23"/>
      <c r="WJL181" s="23"/>
      <c r="WJM181" s="23"/>
      <c r="WJN181" s="23"/>
      <c r="WJO181" s="23"/>
      <c r="WJP181" s="23"/>
      <c r="WJQ181" s="23"/>
      <c r="WJR181" s="23"/>
      <c r="WJS181" s="23"/>
      <c r="WJT181" s="23"/>
      <c r="WJU181" s="23"/>
      <c r="WJV181" s="23"/>
      <c r="WJW181" s="23"/>
      <c r="WJX181" s="23"/>
      <c r="WJY181" s="23"/>
      <c r="WJZ181" s="23"/>
      <c r="WKA181" s="23"/>
      <c r="WKB181" s="23"/>
      <c r="WKC181" s="23"/>
      <c r="WKD181" s="23"/>
      <c r="WKE181" s="23"/>
      <c r="WKF181" s="23"/>
      <c r="WKG181" s="23"/>
      <c r="WKH181" s="23"/>
      <c r="WKI181" s="23"/>
      <c r="WKJ181" s="23"/>
      <c r="WKK181" s="23"/>
      <c r="WKL181" s="23"/>
      <c r="WKM181" s="23"/>
      <c r="WKN181" s="23"/>
      <c r="WKO181" s="23"/>
      <c r="WKP181" s="23"/>
      <c r="WKQ181" s="23"/>
      <c r="WKR181" s="23"/>
      <c r="WKS181" s="23"/>
      <c r="WKT181" s="23"/>
      <c r="WKU181" s="23"/>
      <c r="WKV181" s="23"/>
      <c r="WKW181" s="23"/>
      <c r="WKX181" s="23"/>
      <c r="WKY181" s="23"/>
      <c r="WKZ181" s="23"/>
      <c r="WLA181" s="23"/>
      <c r="WLB181" s="23"/>
      <c r="WLC181" s="23"/>
      <c r="WLD181" s="23"/>
      <c r="WLE181" s="23"/>
      <c r="WLF181" s="23"/>
      <c r="WLG181" s="23"/>
      <c r="WLH181" s="23"/>
      <c r="WLI181" s="23"/>
      <c r="WLJ181" s="23"/>
      <c r="WLK181" s="23"/>
      <c r="WLL181" s="23"/>
      <c r="WLM181" s="23"/>
      <c r="WLN181" s="23"/>
      <c r="WLO181" s="23"/>
      <c r="WLP181" s="23"/>
      <c r="WLQ181" s="23"/>
      <c r="WLR181" s="23"/>
      <c r="WLS181" s="23"/>
      <c r="WLT181" s="23"/>
      <c r="WLU181" s="23"/>
      <c r="WLV181" s="23"/>
      <c r="WLW181" s="23"/>
      <c r="WLX181" s="23"/>
      <c r="WLY181" s="23"/>
      <c r="WLZ181" s="23"/>
      <c r="WMA181" s="23"/>
      <c r="WMB181" s="23"/>
      <c r="WMC181" s="23"/>
      <c r="WMD181" s="23"/>
      <c r="WME181" s="23"/>
      <c r="WMF181" s="23"/>
      <c r="WMG181" s="23"/>
      <c r="WMH181" s="23"/>
      <c r="WMI181" s="23"/>
      <c r="WMJ181" s="23"/>
      <c r="WMK181" s="23"/>
      <c r="WML181" s="23"/>
      <c r="WMM181" s="23"/>
      <c r="WMN181" s="23"/>
      <c r="WMO181" s="23"/>
      <c r="WMP181" s="23"/>
      <c r="WMQ181" s="23"/>
      <c r="WMR181" s="23"/>
      <c r="WMS181" s="23"/>
      <c r="WMT181" s="23"/>
      <c r="WMU181" s="23"/>
      <c r="WMV181" s="23"/>
      <c r="WMW181" s="23"/>
      <c r="WMX181" s="23"/>
      <c r="WMY181" s="23"/>
      <c r="WMZ181" s="23"/>
      <c r="WNA181" s="23"/>
      <c r="WNB181" s="23"/>
      <c r="WNC181" s="23"/>
      <c r="WND181" s="23"/>
      <c r="WNE181" s="23"/>
      <c r="WNF181" s="23"/>
      <c r="WNG181" s="23"/>
      <c r="WNH181" s="23"/>
      <c r="WNI181" s="23"/>
      <c r="WNJ181" s="23"/>
      <c r="WNK181" s="23"/>
      <c r="WNL181" s="23"/>
      <c r="WNM181" s="23"/>
      <c r="WNN181" s="23"/>
      <c r="WNO181" s="23"/>
      <c r="WNP181" s="23"/>
      <c r="WNQ181" s="23"/>
      <c r="WNR181" s="23"/>
      <c r="WNS181" s="23"/>
      <c r="WNT181" s="23"/>
      <c r="WNU181" s="23"/>
      <c r="WNV181" s="23"/>
      <c r="WNW181" s="23"/>
      <c r="WNX181" s="23"/>
      <c r="WNY181" s="23"/>
      <c r="WNZ181" s="23"/>
      <c r="WOA181" s="23"/>
      <c r="WOB181" s="23"/>
      <c r="WOC181" s="23"/>
      <c r="WOD181" s="23"/>
      <c r="WOE181" s="23"/>
      <c r="WOF181" s="23"/>
      <c r="WOG181" s="23"/>
      <c r="WOH181" s="23"/>
      <c r="WOI181" s="23"/>
      <c r="WOJ181" s="23"/>
      <c r="WOK181" s="23"/>
      <c r="WOL181" s="23"/>
      <c r="WOM181" s="23"/>
      <c r="WON181" s="23"/>
      <c r="WOO181" s="23"/>
      <c r="WOP181" s="23"/>
      <c r="WOQ181" s="23"/>
      <c r="WOR181" s="23"/>
      <c r="WOS181" s="23"/>
      <c r="WOT181" s="23"/>
      <c r="WOU181" s="23"/>
      <c r="WOV181" s="23"/>
      <c r="WOW181" s="23"/>
      <c r="WOX181" s="23"/>
      <c r="WOY181" s="23"/>
      <c r="WOZ181" s="23"/>
      <c r="WPA181" s="23"/>
      <c r="WPB181" s="23"/>
      <c r="WPC181" s="23"/>
      <c r="WPD181" s="23"/>
      <c r="WPE181" s="23"/>
      <c r="WPF181" s="23"/>
      <c r="WPG181" s="23"/>
      <c r="WPH181" s="23"/>
      <c r="WPI181" s="23"/>
      <c r="WPJ181" s="23"/>
      <c r="WPK181" s="23"/>
      <c r="WPL181" s="23"/>
      <c r="WPM181" s="23"/>
      <c r="WPN181" s="23"/>
      <c r="WPO181" s="23"/>
      <c r="WPP181" s="23"/>
      <c r="WPQ181" s="23"/>
      <c r="WPR181" s="23"/>
      <c r="WPS181" s="23"/>
      <c r="WPT181" s="23"/>
      <c r="WPU181" s="23"/>
      <c r="WPV181" s="23"/>
      <c r="WPW181" s="23"/>
      <c r="WPX181" s="23"/>
      <c r="WPY181" s="23"/>
      <c r="WPZ181" s="23"/>
      <c r="WQA181" s="23"/>
      <c r="WQB181" s="23"/>
      <c r="WQC181" s="23"/>
      <c r="WQD181" s="23"/>
      <c r="WQE181" s="23"/>
      <c r="WQF181" s="23"/>
      <c r="WQG181" s="23"/>
      <c r="WQH181" s="23"/>
      <c r="WQI181" s="23"/>
      <c r="WQJ181" s="23"/>
      <c r="WQK181" s="23"/>
      <c r="WQL181" s="23"/>
      <c r="WQM181" s="23"/>
      <c r="WQN181" s="23"/>
      <c r="WQO181" s="23"/>
      <c r="WQP181" s="23"/>
      <c r="WQQ181" s="23"/>
      <c r="WQR181" s="23"/>
      <c r="WQS181" s="23"/>
      <c r="WQT181" s="23"/>
      <c r="WQU181" s="23"/>
      <c r="WQV181" s="23"/>
      <c r="WQW181" s="23"/>
      <c r="WQX181" s="23"/>
      <c r="WQY181" s="23"/>
      <c r="WQZ181" s="23"/>
      <c r="WRA181" s="23"/>
      <c r="WRB181" s="23"/>
      <c r="WRC181" s="23"/>
      <c r="WRD181" s="23"/>
      <c r="WRE181" s="23"/>
      <c r="WRF181" s="23"/>
      <c r="WRG181" s="23"/>
      <c r="WRH181" s="23"/>
      <c r="WRI181" s="23"/>
      <c r="WRJ181" s="23"/>
      <c r="WRK181" s="23"/>
      <c r="WRL181" s="23"/>
      <c r="WRM181" s="23"/>
      <c r="WRN181" s="23"/>
      <c r="WRO181" s="23"/>
      <c r="WRP181" s="23"/>
      <c r="WRQ181" s="23"/>
      <c r="WRR181" s="23"/>
      <c r="WRS181" s="23"/>
      <c r="WRT181" s="23"/>
      <c r="WRU181" s="23"/>
      <c r="WRV181" s="23"/>
      <c r="WRW181" s="23"/>
      <c r="WRX181" s="23"/>
      <c r="WRY181" s="23"/>
      <c r="WRZ181" s="23"/>
      <c r="WSA181" s="23"/>
      <c r="WSB181" s="23"/>
      <c r="WSC181" s="23"/>
      <c r="WSD181" s="23"/>
      <c r="WSE181" s="23"/>
      <c r="WSF181" s="23"/>
      <c r="WSG181" s="23"/>
      <c r="WSH181" s="23"/>
      <c r="WSI181" s="23"/>
      <c r="WSJ181" s="23"/>
      <c r="WSK181" s="23"/>
      <c r="WSL181" s="23"/>
      <c r="WSM181" s="23"/>
      <c r="WSN181" s="23"/>
      <c r="WSO181" s="23"/>
      <c r="WSP181" s="23"/>
      <c r="WSQ181" s="23"/>
      <c r="WSR181" s="23"/>
      <c r="WSS181" s="23"/>
      <c r="WST181" s="23"/>
      <c r="WSU181" s="23"/>
      <c r="WSV181" s="23"/>
      <c r="WSW181" s="23"/>
      <c r="WSX181" s="23"/>
      <c r="WSY181" s="23"/>
      <c r="WSZ181" s="23"/>
      <c r="WTA181" s="23"/>
      <c r="WTB181" s="23"/>
      <c r="WTC181" s="23"/>
      <c r="WTD181" s="23"/>
      <c r="WTE181" s="23"/>
      <c r="WTF181" s="23"/>
      <c r="WTG181" s="23"/>
      <c r="WTH181" s="23"/>
      <c r="WTI181" s="23"/>
      <c r="WTJ181" s="23"/>
      <c r="WTK181" s="23"/>
      <c r="WTL181" s="23"/>
      <c r="WTM181" s="23"/>
      <c r="WTN181" s="23"/>
      <c r="WTO181" s="23"/>
      <c r="WTP181" s="23"/>
      <c r="WTQ181" s="23"/>
      <c r="WTR181" s="23"/>
      <c r="WTS181" s="23"/>
      <c r="WTT181" s="23"/>
      <c r="WTU181" s="23"/>
      <c r="WTV181" s="23"/>
      <c r="WTW181" s="23"/>
      <c r="WTX181" s="23"/>
      <c r="WTY181" s="23"/>
      <c r="WTZ181" s="23"/>
      <c r="WUA181" s="23"/>
      <c r="WUB181" s="23"/>
      <c r="WUC181" s="23"/>
      <c r="WUD181" s="23"/>
      <c r="WUE181" s="23"/>
      <c r="WUF181" s="23"/>
      <c r="WUG181" s="23"/>
      <c r="WUH181" s="23"/>
      <c r="WUI181" s="23"/>
      <c r="WUJ181" s="23"/>
      <c r="WUK181" s="23"/>
      <c r="WUL181" s="23"/>
      <c r="WUM181" s="23"/>
      <c r="WUN181" s="23"/>
      <c r="WUO181" s="23"/>
      <c r="WUP181" s="23"/>
      <c r="WUQ181" s="23"/>
      <c r="WUR181" s="23"/>
      <c r="WUS181" s="23"/>
      <c r="WUT181" s="23"/>
      <c r="WUU181" s="23"/>
      <c r="WUV181" s="23"/>
      <c r="WUW181" s="23"/>
      <c r="WUX181" s="23"/>
      <c r="WUY181" s="23"/>
      <c r="WUZ181" s="23"/>
      <c r="WVA181" s="23"/>
      <c r="WVB181" s="23"/>
      <c r="WVC181" s="23"/>
      <c r="WVD181" s="23"/>
      <c r="WVE181" s="23"/>
      <c r="WVF181" s="23"/>
      <c r="WVG181" s="23"/>
      <c r="WVH181" s="23"/>
      <c r="WVI181" s="23"/>
      <c r="WVJ181" s="23"/>
      <c r="WVK181" s="23"/>
      <c r="WVL181" s="23"/>
      <c r="WVM181" s="23"/>
      <c r="WVN181" s="23"/>
      <c r="WVO181" s="23"/>
      <c r="WVP181" s="23"/>
      <c r="WVQ181" s="23"/>
      <c r="WVR181" s="23"/>
      <c r="WVS181" s="23"/>
      <c r="WVT181" s="23"/>
      <c r="WVU181" s="23"/>
      <c r="WVV181" s="23"/>
      <c r="WVW181" s="23"/>
      <c r="WVX181" s="23"/>
      <c r="WVY181" s="23"/>
      <c r="WVZ181" s="23"/>
      <c r="WWA181" s="23"/>
      <c r="WWB181" s="23"/>
      <c r="WWC181" s="23"/>
      <c r="WWD181" s="23"/>
      <c r="WWE181" s="23"/>
      <c r="WWF181" s="23"/>
      <c r="WWG181" s="23"/>
      <c r="WWH181" s="23"/>
      <c r="WWI181" s="23"/>
      <c r="WWJ181" s="23"/>
      <c r="WWK181" s="23"/>
      <c r="WWL181" s="23"/>
      <c r="WWM181" s="23"/>
      <c r="WWN181" s="23"/>
      <c r="WWO181" s="23"/>
      <c r="WWP181" s="23"/>
      <c r="WWQ181" s="23"/>
      <c r="WWR181" s="23"/>
      <c r="WWS181" s="23"/>
      <c r="WWT181" s="23"/>
      <c r="WWU181" s="23"/>
      <c r="WWV181" s="23"/>
      <c r="WWW181" s="23"/>
      <c r="WWX181" s="23"/>
      <c r="WWY181" s="23"/>
      <c r="WWZ181" s="23"/>
      <c r="WXA181" s="23"/>
      <c r="WXB181" s="23"/>
      <c r="WXC181" s="23"/>
      <c r="WXD181" s="23"/>
      <c r="WXE181" s="23"/>
      <c r="WXF181" s="23"/>
      <c r="WXG181" s="23"/>
      <c r="WXH181" s="23"/>
      <c r="WXI181" s="23"/>
      <c r="WXJ181" s="23"/>
      <c r="WXK181" s="23"/>
      <c r="WXL181" s="23"/>
      <c r="WXM181" s="23"/>
      <c r="WXN181" s="23"/>
      <c r="WXO181" s="23"/>
      <c r="WXP181" s="23"/>
      <c r="WXQ181" s="23"/>
      <c r="WXR181" s="23"/>
      <c r="WXS181" s="23"/>
      <c r="WXT181" s="23"/>
      <c r="WXU181" s="23"/>
      <c r="WXV181" s="23"/>
      <c r="WXW181" s="23"/>
      <c r="WXX181" s="23"/>
      <c r="WXY181" s="23"/>
      <c r="WXZ181" s="23"/>
      <c r="WYA181" s="23"/>
      <c r="WYB181" s="23"/>
      <c r="WYC181" s="23"/>
      <c r="WYD181" s="23"/>
      <c r="WYE181" s="23"/>
      <c r="WYF181" s="23"/>
      <c r="WYG181" s="23"/>
      <c r="WYH181" s="23"/>
      <c r="WYI181" s="23"/>
      <c r="WYJ181" s="23"/>
      <c r="WYK181" s="23"/>
      <c r="WYL181" s="23"/>
      <c r="WYM181" s="23"/>
      <c r="WYN181" s="23"/>
      <c r="WYO181" s="23"/>
      <c r="WYP181" s="23"/>
      <c r="WYQ181" s="23"/>
      <c r="WYR181" s="23"/>
      <c r="WYS181" s="23"/>
      <c r="WYT181" s="23"/>
      <c r="WYU181" s="23"/>
      <c r="WYV181" s="23"/>
      <c r="WYW181" s="23"/>
      <c r="WYX181" s="23"/>
      <c r="WYY181" s="23"/>
      <c r="WYZ181" s="23"/>
      <c r="WZA181" s="23"/>
      <c r="WZB181" s="23"/>
      <c r="WZC181" s="23"/>
      <c r="WZD181" s="23"/>
      <c r="WZE181" s="23"/>
      <c r="WZF181" s="23"/>
      <c r="WZG181" s="23"/>
      <c r="WZH181" s="23"/>
      <c r="WZI181" s="23"/>
      <c r="WZJ181" s="23"/>
      <c r="WZK181" s="23"/>
      <c r="WZL181" s="23"/>
      <c r="WZM181" s="23"/>
      <c r="WZN181" s="23"/>
      <c r="WZO181" s="23"/>
      <c r="WZP181" s="23"/>
      <c r="WZQ181" s="23"/>
      <c r="WZR181" s="23"/>
      <c r="WZS181" s="23"/>
      <c r="WZT181" s="23"/>
      <c r="WZU181" s="23"/>
    </row>
    <row r="182" spans="1:16245" s="9" customFormat="1" ht="22.5" x14ac:dyDescent="0.25">
      <c r="A182" s="31"/>
      <c r="B182" s="36">
        <v>176</v>
      </c>
      <c r="C182" s="36" t="s">
        <v>361</v>
      </c>
      <c r="D182" s="36" t="s">
        <v>362</v>
      </c>
      <c r="E182" s="36">
        <v>1549</v>
      </c>
      <c r="F182" s="39">
        <v>1549</v>
      </c>
      <c r="G182" s="36" t="s">
        <v>416</v>
      </c>
      <c r="H182" s="36" t="s">
        <v>56</v>
      </c>
      <c r="I182" s="36" t="s">
        <v>9</v>
      </c>
      <c r="J182" s="46" t="s">
        <v>417</v>
      </c>
      <c r="K182" s="36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1:16245" s="9" customFormat="1" ht="45" x14ac:dyDescent="0.25">
      <c r="A183" s="31"/>
      <c r="B183" s="36">
        <v>177</v>
      </c>
      <c r="C183" s="36" t="s">
        <v>363</v>
      </c>
      <c r="D183" s="36" t="s">
        <v>364</v>
      </c>
      <c r="E183" s="36" t="s">
        <v>645</v>
      </c>
      <c r="F183" s="39">
        <v>3248</v>
      </c>
      <c r="G183" s="36" t="s">
        <v>416</v>
      </c>
      <c r="H183" s="36" t="s">
        <v>56</v>
      </c>
      <c r="I183" s="36" t="s">
        <v>24</v>
      </c>
      <c r="J183" s="51" t="s">
        <v>8</v>
      </c>
      <c r="K183" s="36" t="s">
        <v>418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1:16245" s="9" customFormat="1" ht="90" x14ac:dyDescent="0.25">
      <c r="A184" s="31"/>
      <c r="B184" s="36">
        <v>178</v>
      </c>
      <c r="C184" s="36" t="s">
        <v>365</v>
      </c>
      <c r="D184" s="36" t="s">
        <v>366</v>
      </c>
      <c r="E184" s="36" t="s">
        <v>734</v>
      </c>
      <c r="F184" s="39">
        <v>40000</v>
      </c>
      <c r="G184" s="36" t="s">
        <v>416</v>
      </c>
      <c r="H184" s="36" t="s">
        <v>56</v>
      </c>
      <c r="I184" s="36" t="s">
        <v>24</v>
      </c>
      <c r="J184" s="51" t="s">
        <v>398</v>
      </c>
      <c r="K184" s="36" t="s">
        <v>733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1:16245" s="9" customFormat="1" ht="45" x14ac:dyDescent="0.25">
      <c r="A185" s="31"/>
      <c r="B185" s="36">
        <v>179</v>
      </c>
      <c r="C185" s="36" t="s">
        <v>466</v>
      </c>
      <c r="D185" s="36" t="s">
        <v>93</v>
      </c>
      <c r="E185" s="36">
        <v>944</v>
      </c>
      <c r="F185" s="39">
        <v>944</v>
      </c>
      <c r="G185" s="36" t="s">
        <v>523</v>
      </c>
      <c r="H185" s="36" t="s">
        <v>56</v>
      </c>
      <c r="I185" s="36" t="s">
        <v>24</v>
      </c>
      <c r="J185" s="46" t="s">
        <v>3</v>
      </c>
      <c r="K185" s="36" t="s">
        <v>524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1:16245" s="9" customFormat="1" ht="45" x14ac:dyDescent="0.25">
      <c r="A186" s="31"/>
      <c r="B186" s="36">
        <v>180</v>
      </c>
      <c r="C186" s="36" t="s">
        <v>330</v>
      </c>
      <c r="D186" s="36" t="s">
        <v>110</v>
      </c>
      <c r="E186" s="36" t="s">
        <v>568</v>
      </c>
      <c r="F186" s="39">
        <v>8925</v>
      </c>
      <c r="G186" s="36" t="s">
        <v>525</v>
      </c>
      <c r="H186" s="36" t="s">
        <v>56</v>
      </c>
      <c r="I186" s="36" t="s">
        <v>24</v>
      </c>
      <c r="J186" s="46" t="s">
        <v>3</v>
      </c>
      <c r="K186" s="36" t="s">
        <v>526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1:16245" s="3" customFormat="1" ht="45" x14ac:dyDescent="0.25">
      <c r="A187" s="30"/>
      <c r="B187" s="36">
        <v>181</v>
      </c>
      <c r="C187" s="36" t="s">
        <v>330</v>
      </c>
      <c r="D187" s="36" t="s">
        <v>232</v>
      </c>
      <c r="E187" s="36" t="s">
        <v>569</v>
      </c>
      <c r="F187" s="39">
        <v>2400</v>
      </c>
      <c r="G187" s="36" t="s">
        <v>525</v>
      </c>
      <c r="H187" s="36" t="s">
        <v>56</v>
      </c>
      <c r="I187" s="36" t="s">
        <v>24</v>
      </c>
      <c r="J187" s="46" t="s">
        <v>3</v>
      </c>
      <c r="K187" s="36" t="s">
        <v>527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1:16245" s="9" customFormat="1" ht="45" x14ac:dyDescent="0.25">
      <c r="A188" s="31"/>
      <c r="B188" s="36">
        <v>182</v>
      </c>
      <c r="C188" s="36" t="s">
        <v>467</v>
      </c>
      <c r="D188" s="36" t="s">
        <v>232</v>
      </c>
      <c r="E188" s="36" t="s">
        <v>570</v>
      </c>
      <c r="F188" s="39">
        <v>2300</v>
      </c>
      <c r="G188" s="36" t="s">
        <v>525</v>
      </c>
      <c r="H188" s="36" t="s">
        <v>56</v>
      </c>
      <c r="I188" s="36" t="s">
        <v>24</v>
      </c>
      <c r="J188" s="46" t="s">
        <v>3</v>
      </c>
      <c r="K188" s="36" t="s">
        <v>528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1:16245" s="9" customFormat="1" ht="90" x14ac:dyDescent="0.25">
      <c r="A189" s="31"/>
      <c r="B189" s="36">
        <v>183</v>
      </c>
      <c r="C189" s="36" t="s">
        <v>468</v>
      </c>
      <c r="D189" s="36" t="s">
        <v>469</v>
      </c>
      <c r="E189" s="36" t="s">
        <v>1144</v>
      </c>
      <c r="F189" s="39">
        <v>21077.5</v>
      </c>
      <c r="G189" s="36" t="s">
        <v>525</v>
      </c>
      <c r="H189" s="36" t="s">
        <v>56</v>
      </c>
      <c r="I189" s="36" t="s">
        <v>24</v>
      </c>
      <c r="J189" s="51" t="s">
        <v>398</v>
      </c>
      <c r="K189" s="36" t="s">
        <v>529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1:16245" s="9" customFormat="1" ht="45" x14ac:dyDescent="0.25">
      <c r="A190" s="31"/>
      <c r="B190" s="36">
        <v>184</v>
      </c>
      <c r="C190" s="36" t="s">
        <v>109</v>
      </c>
      <c r="D190" s="36" t="s">
        <v>110</v>
      </c>
      <c r="E190" s="36">
        <v>87.5</v>
      </c>
      <c r="F190" s="39">
        <v>87.5</v>
      </c>
      <c r="G190" s="36" t="s">
        <v>530</v>
      </c>
      <c r="H190" s="36" t="s">
        <v>56</v>
      </c>
      <c r="I190" s="36" t="s">
        <v>24</v>
      </c>
      <c r="J190" s="46" t="s">
        <v>3</v>
      </c>
      <c r="K190" s="36" t="s">
        <v>531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1:16245" s="9" customFormat="1" ht="45" x14ac:dyDescent="0.25">
      <c r="A191" s="31"/>
      <c r="B191" s="36">
        <v>185</v>
      </c>
      <c r="C191" s="36" t="s">
        <v>109</v>
      </c>
      <c r="D191" s="36" t="s">
        <v>232</v>
      </c>
      <c r="E191" s="36">
        <v>125</v>
      </c>
      <c r="F191" s="39">
        <v>125</v>
      </c>
      <c r="G191" s="36" t="s">
        <v>530</v>
      </c>
      <c r="H191" s="36" t="s">
        <v>56</v>
      </c>
      <c r="I191" s="36" t="s">
        <v>24</v>
      </c>
      <c r="J191" s="46" t="s">
        <v>3</v>
      </c>
      <c r="K191" s="36" t="s">
        <v>532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1:16245" s="9" customFormat="1" ht="45" x14ac:dyDescent="0.25">
      <c r="A192" s="31"/>
      <c r="B192" s="36">
        <v>186</v>
      </c>
      <c r="C192" s="36" t="s">
        <v>109</v>
      </c>
      <c r="D192" s="36" t="s">
        <v>110</v>
      </c>
      <c r="E192" s="36" t="s">
        <v>571</v>
      </c>
      <c r="F192" s="39">
        <v>1850</v>
      </c>
      <c r="G192" s="36" t="s">
        <v>533</v>
      </c>
      <c r="H192" s="36" t="s">
        <v>56</v>
      </c>
      <c r="I192" s="36" t="s">
        <v>24</v>
      </c>
      <c r="J192" s="46" t="s">
        <v>3</v>
      </c>
      <c r="K192" s="36" t="s">
        <v>534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1:59" s="9" customFormat="1" ht="45" x14ac:dyDescent="0.25">
      <c r="A193" s="31"/>
      <c r="B193" s="36">
        <v>187</v>
      </c>
      <c r="C193" s="36" t="s">
        <v>470</v>
      </c>
      <c r="D193" s="36" t="s">
        <v>108</v>
      </c>
      <c r="E193" s="36">
        <v>480</v>
      </c>
      <c r="F193" s="39">
        <v>480</v>
      </c>
      <c r="G193" s="36" t="s">
        <v>533</v>
      </c>
      <c r="H193" s="36" t="s">
        <v>56</v>
      </c>
      <c r="I193" s="36" t="s">
        <v>24</v>
      </c>
      <c r="J193" s="46" t="s">
        <v>3</v>
      </c>
      <c r="K193" s="36" t="s">
        <v>535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1:59" s="9" customFormat="1" ht="45" x14ac:dyDescent="0.25">
      <c r="A194" s="31"/>
      <c r="B194" s="36">
        <v>188</v>
      </c>
      <c r="C194" s="36" t="s">
        <v>471</v>
      </c>
      <c r="D194" s="36" t="s">
        <v>5</v>
      </c>
      <c r="E194" s="36" t="s">
        <v>578</v>
      </c>
      <c r="F194" s="39">
        <v>1500</v>
      </c>
      <c r="G194" s="36" t="s">
        <v>533</v>
      </c>
      <c r="H194" s="36" t="s">
        <v>56</v>
      </c>
      <c r="I194" s="36" t="s">
        <v>24</v>
      </c>
      <c r="J194" s="46" t="s">
        <v>3</v>
      </c>
      <c r="K194" s="36" t="s">
        <v>536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1:59" ht="90" x14ac:dyDescent="0.25">
      <c r="A195" s="29"/>
      <c r="B195" s="36">
        <v>189</v>
      </c>
      <c r="C195" s="36" t="s">
        <v>472</v>
      </c>
      <c r="D195" s="36" t="s">
        <v>473</v>
      </c>
      <c r="E195" s="36" t="s">
        <v>641</v>
      </c>
      <c r="F195" s="39" t="s">
        <v>641</v>
      </c>
      <c r="G195" s="36" t="s">
        <v>533</v>
      </c>
      <c r="H195" s="36" t="s">
        <v>56</v>
      </c>
      <c r="I195" s="36" t="s">
        <v>24</v>
      </c>
      <c r="J195" s="51" t="s">
        <v>398</v>
      </c>
      <c r="K195" s="36" t="s">
        <v>537</v>
      </c>
    </row>
    <row r="196" spans="1:59" s="9" customFormat="1" ht="90" x14ac:dyDescent="0.25">
      <c r="A196" s="31"/>
      <c r="B196" s="36">
        <v>190</v>
      </c>
      <c r="C196" s="36" t="s">
        <v>474</v>
      </c>
      <c r="D196" s="36" t="s">
        <v>475</v>
      </c>
      <c r="E196" s="36">
        <v>974.41</v>
      </c>
      <c r="F196" s="39">
        <v>1000</v>
      </c>
      <c r="G196" s="36" t="s">
        <v>533</v>
      </c>
      <c r="H196" s="36" t="s">
        <v>56</v>
      </c>
      <c r="I196" s="36" t="s">
        <v>24</v>
      </c>
      <c r="J196" s="51" t="s">
        <v>398</v>
      </c>
      <c r="K196" s="36" t="s">
        <v>538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1:59" s="9" customFormat="1" ht="90" x14ac:dyDescent="0.25">
      <c r="A197" s="31"/>
      <c r="B197" s="36">
        <v>191</v>
      </c>
      <c r="C197" s="36" t="s">
        <v>476</v>
      </c>
      <c r="D197" s="36" t="s">
        <v>477</v>
      </c>
      <c r="E197" s="36">
        <f>10651.07 +10847.03</f>
        <v>21498.1</v>
      </c>
      <c r="F197" s="39">
        <v>22010</v>
      </c>
      <c r="G197" s="36" t="s">
        <v>533</v>
      </c>
      <c r="H197" s="36" t="s">
        <v>56</v>
      </c>
      <c r="I197" s="36" t="s">
        <v>24</v>
      </c>
      <c r="J197" s="51" t="s">
        <v>398</v>
      </c>
      <c r="K197" s="36" t="s">
        <v>539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1:59" ht="90" x14ac:dyDescent="0.25">
      <c r="A198" s="29"/>
      <c r="B198" s="36">
        <v>192</v>
      </c>
      <c r="C198" s="36" t="s">
        <v>478</v>
      </c>
      <c r="D198" s="36" t="s">
        <v>479</v>
      </c>
      <c r="E198" s="36" t="s">
        <v>742</v>
      </c>
      <c r="F198" s="39">
        <v>9800</v>
      </c>
      <c r="G198" s="36" t="s">
        <v>533</v>
      </c>
      <c r="H198" s="36" t="s">
        <v>56</v>
      </c>
      <c r="I198" s="36" t="s">
        <v>24</v>
      </c>
      <c r="J198" s="51" t="s">
        <v>398</v>
      </c>
      <c r="K198" s="36" t="s">
        <v>540</v>
      </c>
    </row>
    <row r="199" spans="1:59" ht="90" x14ac:dyDescent="0.25">
      <c r="A199" s="29"/>
      <c r="B199" s="36">
        <v>193</v>
      </c>
      <c r="C199" s="36" t="s">
        <v>480</v>
      </c>
      <c r="D199" s="36" t="s">
        <v>481</v>
      </c>
      <c r="E199" s="36" t="s">
        <v>1501</v>
      </c>
      <c r="F199" s="39">
        <v>5455</v>
      </c>
      <c r="G199" s="36" t="s">
        <v>533</v>
      </c>
      <c r="H199" s="36" t="s">
        <v>56</v>
      </c>
      <c r="I199" s="36" t="s">
        <v>24</v>
      </c>
      <c r="J199" s="51" t="s">
        <v>398</v>
      </c>
      <c r="K199" s="36" t="s">
        <v>541</v>
      </c>
    </row>
    <row r="200" spans="1:59" s="9" customFormat="1" ht="45.75" x14ac:dyDescent="0.25">
      <c r="A200" s="31"/>
      <c r="B200" s="36">
        <v>194</v>
      </c>
      <c r="C200" s="36" t="s">
        <v>214</v>
      </c>
      <c r="D200" s="36" t="s">
        <v>482</v>
      </c>
      <c r="E200" s="36">
        <v>100</v>
      </c>
      <c r="F200" s="39">
        <v>100</v>
      </c>
      <c r="G200" s="36" t="s">
        <v>533</v>
      </c>
      <c r="H200" s="36" t="s">
        <v>56</v>
      </c>
      <c r="I200" s="36" t="s">
        <v>24</v>
      </c>
      <c r="J200" s="46" t="s">
        <v>6</v>
      </c>
      <c r="K200" s="36" t="s">
        <v>542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1:59" s="9" customFormat="1" ht="45.75" x14ac:dyDescent="0.25">
      <c r="A201" s="31"/>
      <c r="B201" s="36">
        <v>195</v>
      </c>
      <c r="C201" s="36" t="s">
        <v>265</v>
      </c>
      <c r="D201" s="36" t="s">
        <v>110</v>
      </c>
      <c r="E201" s="36" t="s">
        <v>441</v>
      </c>
      <c r="F201" s="39">
        <v>1800</v>
      </c>
      <c r="G201" s="36" t="s">
        <v>543</v>
      </c>
      <c r="H201" s="36" t="s">
        <v>56</v>
      </c>
      <c r="I201" s="36" t="s">
        <v>24</v>
      </c>
      <c r="J201" s="46" t="s">
        <v>6</v>
      </c>
      <c r="K201" s="36" t="s">
        <v>544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1:59" s="9" customFormat="1" ht="45" x14ac:dyDescent="0.25">
      <c r="A202" s="31"/>
      <c r="B202" s="36">
        <v>196</v>
      </c>
      <c r="C202" s="36" t="s">
        <v>483</v>
      </c>
      <c r="D202" s="36" t="s">
        <v>108</v>
      </c>
      <c r="E202" s="36" t="s">
        <v>576</v>
      </c>
      <c r="F202" s="39">
        <v>1600</v>
      </c>
      <c r="G202" s="36" t="s">
        <v>543</v>
      </c>
      <c r="H202" s="36" t="s">
        <v>56</v>
      </c>
      <c r="I202" s="36" t="s">
        <v>24</v>
      </c>
      <c r="J202" s="46" t="s">
        <v>3</v>
      </c>
      <c r="K202" s="36" t="s">
        <v>545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1:59" ht="45" x14ac:dyDescent="0.25">
      <c r="A203" s="29"/>
      <c r="B203" s="36">
        <v>197</v>
      </c>
      <c r="C203" s="36" t="s">
        <v>484</v>
      </c>
      <c r="D203" s="36" t="s">
        <v>108</v>
      </c>
      <c r="E203" s="36" t="s">
        <v>572</v>
      </c>
      <c r="F203" s="39">
        <v>1920</v>
      </c>
      <c r="G203" s="36" t="s">
        <v>543</v>
      </c>
      <c r="H203" s="36" t="s">
        <v>56</v>
      </c>
      <c r="I203" s="36" t="s">
        <v>24</v>
      </c>
      <c r="J203" s="46" t="s">
        <v>3</v>
      </c>
      <c r="K203" s="36" t="s">
        <v>546</v>
      </c>
    </row>
    <row r="204" spans="1:59" s="9" customFormat="1" ht="45" x14ac:dyDescent="0.25">
      <c r="A204" s="31"/>
      <c r="B204" s="36">
        <v>198</v>
      </c>
      <c r="C204" s="36" t="s">
        <v>485</v>
      </c>
      <c r="D204" s="36" t="s">
        <v>108</v>
      </c>
      <c r="E204" s="36" t="s">
        <v>577</v>
      </c>
      <c r="F204" s="39">
        <v>1600</v>
      </c>
      <c r="G204" s="36" t="s">
        <v>543</v>
      </c>
      <c r="H204" s="36" t="s">
        <v>56</v>
      </c>
      <c r="I204" s="36" t="s">
        <v>24</v>
      </c>
      <c r="J204" s="46" t="s">
        <v>3</v>
      </c>
      <c r="K204" s="36" t="s">
        <v>547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1:59" s="9" customFormat="1" ht="45" x14ac:dyDescent="0.25">
      <c r="A205" s="31"/>
      <c r="B205" s="36">
        <v>199</v>
      </c>
      <c r="C205" s="36" t="s">
        <v>256</v>
      </c>
      <c r="D205" s="36" t="s">
        <v>108</v>
      </c>
      <c r="E205" s="36" t="s">
        <v>573</v>
      </c>
      <c r="F205" s="39">
        <v>1600</v>
      </c>
      <c r="G205" s="36" t="s">
        <v>543</v>
      </c>
      <c r="H205" s="36" t="s">
        <v>56</v>
      </c>
      <c r="I205" s="36" t="s">
        <v>24</v>
      </c>
      <c r="J205" s="46" t="s">
        <v>3</v>
      </c>
      <c r="K205" s="36" t="s">
        <v>548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1:59" s="9" customFormat="1" ht="45" x14ac:dyDescent="0.25">
      <c r="A206" s="31"/>
      <c r="B206" s="36">
        <v>200</v>
      </c>
      <c r="C206" s="36" t="s">
        <v>486</v>
      </c>
      <c r="D206" s="36" t="s">
        <v>487</v>
      </c>
      <c r="E206" s="36">
        <v>984</v>
      </c>
      <c r="F206" s="39">
        <v>984</v>
      </c>
      <c r="G206" s="36" t="s">
        <v>543</v>
      </c>
      <c r="H206" s="36" t="s">
        <v>56</v>
      </c>
      <c r="I206" s="36" t="s">
        <v>24</v>
      </c>
      <c r="J206" s="46" t="s">
        <v>3</v>
      </c>
      <c r="K206" s="36" t="s">
        <v>549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1:59" s="9" customFormat="1" ht="45.75" x14ac:dyDescent="0.25">
      <c r="A207" s="31"/>
      <c r="B207" s="36">
        <v>201</v>
      </c>
      <c r="C207" s="36" t="s">
        <v>488</v>
      </c>
      <c r="D207" s="36" t="s">
        <v>489</v>
      </c>
      <c r="E207" s="36">
        <v>235</v>
      </c>
      <c r="F207" s="39">
        <v>235</v>
      </c>
      <c r="G207" s="36" t="s">
        <v>543</v>
      </c>
      <c r="H207" s="36" t="s">
        <v>56</v>
      </c>
      <c r="I207" s="36" t="s">
        <v>24</v>
      </c>
      <c r="J207" s="46" t="s">
        <v>6</v>
      </c>
      <c r="K207" s="36" t="s">
        <v>550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1:59" s="9" customFormat="1" ht="45" x14ac:dyDescent="0.25">
      <c r="A208" s="31"/>
      <c r="B208" s="36">
        <v>202</v>
      </c>
      <c r="C208" s="36" t="s">
        <v>231</v>
      </c>
      <c r="D208" s="36" t="s">
        <v>232</v>
      </c>
      <c r="E208" s="36">
        <v>100</v>
      </c>
      <c r="F208" s="39">
        <v>100</v>
      </c>
      <c r="G208" s="36" t="s">
        <v>543</v>
      </c>
      <c r="H208" s="36" t="s">
        <v>56</v>
      </c>
      <c r="I208" s="36" t="s">
        <v>24</v>
      </c>
      <c r="J208" s="46" t="s">
        <v>3</v>
      </c>
      <c r="K208" s="36" t="s">
        <v>551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1:59" s="4" customFormat="1" ht="45" x14ac:dyDescent="0.25">
      <c r="A209" s="35"/>
      <c r="B209" s="36">
        <v>203</v>
      </c>
      <c r="C209" s="36" t="s">
        <v>231</v>
      </c>
      <c r="D209" s="36" t="s">
        <v>110</v>
      </c>
      <c r="E209" s="36">
        <v>70</v>
      </c>
      <c r="F209" s="39">
        <v>70</v>
      </c>
      <c r="G209" s="36" t="s">
        <v>543</v>
      </c>
      <c r="H209" s="36" t="s">
        <v>56</v>
      </c>
      <c r="I209" s="36" t="s">
        <v>24</v>
      </c>
      <c r="J209" s="46" t="s">
        <v>3</v>
      </c>
      <c r="K209" s="36" t="s">
        <v>552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1:59" s="9" customFormat="1" ht="45" x14ac:dyDescent="0.25">
      <c r="A210" s="31"/>
      <c r="B210" s="36">
        <v>204</v>
      </c>
      <c r="C210" s="36" t="s">
        <v>490</v>
      </c>
      <c r="D210" s="36" t="s">
        <v>491</v>
      </c>
      <c r="E210" s="36">
        <f>490+140+148+65+100</f>
        <v>943</v>
      </c>
      <c r="F210" s="39">
        <v>1000</v>
      </c>
      <c r="G210" s="36" t="s">
        <v>553</v>
      </c>
      <c r="H210" s="36" t="s">
        <v>56</v>
      </c>
      <c r="I210" s="36" t="s">
        <v>24</v>
      </c>
      <c r="J210" s="46" t="s">
        <v>18</v>
      </c>
      <c r="K210" s="36" t="s">
        <v>554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1:59" s="9" customFormat="1" ht="45" x14ac:dyDescent="0.25">
      <c r="A211" s="31"/>
      <c r="B211" s="36">
        <v>205</v>
      </c>
      <c r="C211" s="36" t="s">
        <v>492</v>
      </c>
      <c r="D211" s="36" t="s">
        <v>493</v>
      </c>
      <c r="E211" s="36" t="s">
        <v>640</v>
      </c>
      <c r="F211" s="39">
        <v>1513.75</v>
      </c>
      <c r="G211" s="36" t="s">
        <v>553</v>
      </c>
      <c r="H211" s="36" t="s">
        <v>56</v>
      </c>
      <c r="I211" s="36" t="s">
        <v>24</v>
      </c>
      <c r="J211" s="51" t="s">
        <v>8</v>
      </c>
      <c r="K211" s="36" t="s">
        <v>555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1:59" s="9" customFormat="1" ht="45" x14ac:dyDescent="0.25">
      <c r="A212" s="31"/>
      <c r="B212" s="36">
        <v>206</v>
      </c>
      <c r="C212" s="36" t="s">
        <v>494</v>
      </c>
      <c r="D212" s="36" t="s">
        <v>110</v>
      </c>
      <c r="E212" s="36" t="s">
        <v>575</v>
      </c>
      <c r="F212" s="39">
        <v>1750</v>
      </c>
      <c r="G212" s="36" t="s">
        <v>553</v>
      </c>
      <c r="H212" s="36" t="s">
        <v>56</v>
      </c>
      <c r="I212" s="36" t="s">
        <v>24</v>
      </c>
      <c r="J212" s="46" t="s">
        <v>3</v>
      </c>
      <c r="K212" s="36" t="s">
        <v>556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1:59" s="9" customFormat="1" ht="45" x14ac:dyDescent="0.25">
      <c r="A213" s="31"/>
      <c r="B213" s="36">
        <v>207</v>
      </c>
      <c r="C213" s="36" t="s">
        <v>264</v>
      </c>
      <c r="D213" s="36" t="s">
        <v>232</v>
      </c>
      <c r="E213" s="36" t="s">
        <v>580</v>
      </c>
      <c r="F213" s="39">
        <v>1475</v>
      </c>
      <c r="G213" s="36" t="s">
        <v>553</v>
      </c>
      <c r="H213" s="36" t="s">
        <v>56</v>
      </c>
      <c r="I213" s="36" t="s">
        <v>24</v>
      </c>
      <c r="J213" s="46" t="s">
        <v>3</v>
      </c>
      <c r="K213" s="36" t="s">
        <v>557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1:59" ht="45" x14ac:dyDescent="0.25">
      <c r="A214" s="29"/>
      <c r="B214" s="36">
        <v>208</v>
      </c>
      <c r="C214" s="36" t="s">
        <v>495</v>
      </c>
      <c r="D214" s="36" t="s">
        <v>278</v>
      </c>
      <c r="E214" s="36" t="s">
        <v>584</v>
      </c>
      <c r="F214" s="39">
        <v>3128</v>
      </c>
      <c r="G214" s="36" t="s">
        <v>553</v>
      </c>
      <c r="H214" s="36" t="s">
        <v>56</v>
      </c>
      <c r="I214" s="36" t="s">
        <v>24</v>
      </c>
      <c r="J214" s="46" t="s">
        <v>3</v>
      </c>
      <c r="K214" s="36" t="s">
        <v>558</v>
      </c>
    </row>
    <row r="215" spans="1:59" s="9" customFormat="1" ht="90" x14ac:dyDescent="0.25">
      <c r="A215" s="31"/>
      <c r="B215" s="36">
        <v>209</v>
      </c>
      <c r="C215" s="36" t="s">
        <v>496</v>
      </c>
      <c r="D215" s="36" t="s">
        <v>497</v>
      </c>
      <c r="E215" s="36" t="s">
        <v>605</v>
      </c>
      <c r="F215" s="39">
        <v>1750</v>
      </c>
      <c r="G215" s="36" t="s">
        <v>553</v>
      </c>
      <c r="H215" s="36" t="s">
        <v>56</v>
      </c>
      <c r="I215" s="36" t="s">
        <v>24</v>
      </c>
      <c r="J215" s="51" t="s">
        <v>398</v>
      </c>
      <c r="K215" s="36" t="s">
        <v>559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1:59" s="9" customFormat="1" ht="90" x14ac:dyDescent="0.25">
      <c r="A216" s="31"/>
      <c r="B216" s="36">
        <v>210</v>
      </c>
      <c r="C216" s="36" t="s">
        <v>498</v>
      </c>
      <c r="D216" s="36" t="s">
        <v>497</v>
      </c>
      <c r="E216" s="36" t="s">
        <v>579</v>
      </c>
      <c r="F216" s="39">
        <v>1500</v>
      </c>
      <c r="G216" s="36" t="s">
        <v>553</v>
      </c>
      <c r="H216" s="36" t="s">
        <v>56</v>
      </c>
      <c r="I216" s="36" t="s">
        <v>24</v>
      </c>
      <c r="J216" s="51" t="s">
        <v>398</v>
      </c>
      <c r="K216" s="36" t="s">
        <v>560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1:59" s="9" customFormat="1" ht="45" x14ac:dyDescent="0.25">
      <c r="A217" s="31"/>
      <c r="B217" s="36">
        <v>211</v>
      </c>
      <c r="C217" s="36" t="s">
        <v>499</v>
      </c>
      <c r="D217" s="36" t="s">
        <v>5</v>
      </c>
      <c r="E217" s="36" t="s">
        <v>735</v>
      </c>
      <c r="F217" s="39">
        <v>4290</v>
      </c>
      <c r="G217" s="36" t="s">
        <v>561</v>
      </c>
      <c r="H217" s="36" t="s">
        <v>56</v>
      </c>
      <c r="I217" s="36" t="s">
        <v>24</v>
      </c>
      <c r="J217" s="46" t="s">
        <v>3</v>
      </c>
      <c r="K217" s="36" t="s">
        <v>715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1:59" s="9" customFormat="1" ht="45" x14ac:dyDescent="0.25">
      <c r="A218" s="31"/>
      <c r="B218" s="36">
        <v>212</v>
      </c>
      <c r="C218" s="36" t="s">
        <v>467</v>
      </c>
      <c r="D218" s="36" t="s">
        <v>232</v>
      </c>
      <c r="E218" s="36" t="s">
        <v>716</v>
      </c>
      <c r="F218" s="39">
        <v>2300</v>
      </c>
      <c r="G218" s="36" t="s">
        <v>561</v>
      </c>
      <c r="H218" s="36" t="s">
        <v>56</v>
      </c>
      <c r="I218" s="36" t="s">
        <v>24</v>
      </c>
      <c r="J218" s="46" t="s">
        <v>3</v>
      </c>
      <c r="K218" s="36" t="s">
        <v>711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1:59" s="9" customFormat="1" ht="45" x14ac:dyDescent="0.25">
      <c r="A219" s="31"/>
      <c r="B219" s="36">
        <v>213</v>
      </c>
      <c r="C219" s="36" t="s">
        <v>500</v>
      </c>
      <c r="D219" s="36" t="s">
        <v>232</v>
      </c>
      <c r="E219" s="36" t="s">
        <v>717</v>
      </c>
      <c r="F219" s="39">
        <v>3875</v>
      </c>
      <c r="G219" s="36" t="s">
        <v>561</v>
      </c>
      <c r="H219" s="36" t="s">
        <v>56</v>
      </c>
      <c r="I219" s="36" t="s">
        <v>24</v>
      </c>
      <c r="J219" s="46" t="s">
        <v>3</v>
      </c>
      <c r="K219" s="36" t="s">
        <v>712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1:59" s="9" customFormat="1" ht="45" x14ac:dyDescent="0.25">
      <c r="A220" s="31"/>
      <c r="B220" s="36">
        <v>214</v>
      </c>
      <c r="C220" s="36" t="s">
        <v>500</v>
      </c>
      <c r="D220" s="36" t="s">
        <v>110</v>
      </c>
      <c r="E220" s="36" t="s">
        <v>718</v>
      </c>
      <c r="F220" s="39">
        <v>6500</v>
      </c>
      <c r="G220" s="36" t="s">
        <v>561</v>
      </c>
      <c r="H220" s="36" t="s">
        <v>56</v>
      </c>
      <c r="I220" s="36" t="s">
        <v>24</v>
      </c>
      <c r="J220" s="46" t="s">
        <v>3</v>
      </c>
      <c r="K220" s="36" t="s">
        <v>713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1:59" s="9" customFormat="1" ht="45" x14ac:dyDescent="0.25">
      <c r="A221" s="31"/>
      <c r="B221" s="36">
        <v>215</v>
      </c>
      <c r="C221" s="36" t="s">
        <v>319</v>
      </c>
      <c r="D221" s="36" t="s">
        <v>108</v>
      </c>
      <c r="E221" s="36">
        <v>150</v>
      </c>
      <c r="F221" s="39">
        <v>150</v>
      </c>
      <c r="G221" s="36" t="s">
        <v>561</v>
      </c>
      <c r="H221" s="36" t="s">
        <v>56</v>
      </c>
      <c r="I221" s="36" t="s">
        <v>24</v>
      </c>
      <c r="J221" s="46" t="s">
        <v>3</v>
      </c>
      <c r="K221" s="36" t="s">
        <v>714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1:59" ht="33.75" x14ac:dyDescent="0.25">
      <c r="A222" s="29"/>
      <c r="B222" s="36">
        <v>216</v>
      </c>
      <c r="C222" s="36" t="s">
        <v>501</v>
      </c>
      <c r="D222" s="36" t="s">
        <v>502</v>
      </c>
      <c r="E222" s="36">
        <f>555+130+1300+260+1115+590+910+1030+1395+540+630+65</f>
        <v>8520</v>
      </c>
      <c r="F222" s="39">
        <v>16995</v>
      </c>
      <c r="G222" s="36" t="s">
        <v>561</v>
      </c>
      <c r="H222" s="36" t="s">
        <v>56</v>
      </c>
      <c r="I222" s="36" t="s">
        <v>9</v>
      </c>
      <c r="J222" s="46" t="s">
        <v>562</v>
      </c>
      <c r="K222" s="36"/>
    </row>
    <row r="223" spans="1:59" s="9" customFormat="1" ht="45" x14ac:dyDescent="0.25">
      <c r="A223" s="31"/>
      <c r="B223" s="36">
        <v>217</v>
      </c>
      <c r="C223" s="36" t="s">
        <v>503</v>
      </c>
      <c r="D223" s="36" t="s">
        <v>110</v>
      </c>
      <c r="E223" s="36" t="s">
        <v>647</v>
      </c>
      <c r="F223" s="39">
        <v>8700</v>
      </c>
      <c r="G223" s="36" t="s">
        <v>561</v>
      </c>
      <c r="H223" s="36" t="s">
        <v>56</v>
      </c>
      <c r="I223" s="36" t="s">
        <v>24</v>
      </c>
      <c r="J223" s="46" t="s">
        <v>3</v>
      </c>
      <c r="K223" s="52" t="s">
        <v>646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1:59" s="9" customFormat="1" ht="28.5" customHeight="1" x14ac:dyDescent="0.25">
      <c r="A224" s="31"/>
      <c r="B224" s="36">
        <v>218</v>
      </c>
      <c r="C224" s="36" t="s">
        <v>504</v>
      </c>
      <c r="D224" s="36" t="s">
        <v>5</v>
      </c>
      <c r="E224" s="36" t="s">
        <v>1199</v>
      </c>
      <c r="F224" s="39">
        <v>2868.91</v>
      </c>
      <c r="G224" s="36" t="s">
        <v>561</v>
      </c>
      <c r="H224" s="36" t="s">
        <v>56</v>
      </c>
      <c r="I224" s="36" t="s">
        <v>24</v>
      </c>
      <c r="J224" s="46" t="s">
        <v>3</v>
      </c>
      <c r="K224" s="36" t="s">
        <v>1198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1:59" s="9" customFormat="1" ht="45" x14ac:dyDescent="0.25">
      <c r="A225" s="31"/>
      <c r="B225" s="36">
        <v>219</v>
      </c>
      <c r="C225" s="36" t="s">
        <v>505</v>
      </c>
      <c r="D225" s="36" t="s">
        <v>278</v>
      </c>
      <c r="E225" s="36" t="s">
        <v>722</v>
      </c>
      <c r="F225" s="39">
        <v>2650</v>
      </c>
      <c r="G225" s="36" t="s">
        <v>561</v>
      </c>
      <c r="H225" s="36" t="s">
        <v>56</v>
      </c>
      <c r="I225" s="36" t="s">
        <v>24</v>
      </c>
      <c r="J225" s="46" t="s">
        <v>3</v>
      </c>
      <c r="K225" s="36" t="s">
        <v>721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1:59" ht="90" x14ac:dyDescent="0.25">
      <c r="A226" s="29"/>
      <c r="B226" s="36">
        <v>221</v>
      </c>
      <c r="C226" s="36" t="s">
        <v>506</v>
      </c>
      <c r="D226" s="36" t="s">
        <v>338</v>
      </c>
      <c r="E226" s="36">
        <f>411153.54+191934.34+430378.64+126726.77</f>
        <v>1160193.29</v>
      </c>
      <c r="F226" s="39">
        <v>1280000</v>
      </c>
      <c r="G226" s="36" t="s">
        <v>563</v>
      </c>
      <c r="H226" s="36" t="s">
        <v>56</v>
      </c>
      <c r="I226" s="36" t="s">
        <v>24</v>
      </c>
      <c r="J226" s="51" t="s">
        <v>398</v>
      </c>
      <c r="K226" s="36" t="s">
        <v>564</v>
      </c>
    </row>
    <row r="227" spans="1:59" s="9" customFormat="1" ht="45" x14ac:dyDescent="0.25">
      <c r="A227" s="31"/>
      <c r="B227" s="36">
        <v>222</v>
      </c>
      <c r="C227" s="36" t="s">
        <v>507</v>
      </c>
      <c r="D227" s="36" t="s">
        <v>232</v>
      </c>
      <c r="E227" s="36" t="s">
        <v>606</v>
      </c>
      <c r="F227" s="39">
        <v>1043.75</v>
      </c>
      <c r="G227" s="36" t="s">
        <v>565</v>
      </c>
      <c r="H227" s="36" t="s">
        <v>56</v>
      </c>
      <c r="I227" s="36" t="s">
        <v>24</v>
      </c>
      <c r="J227" s="46" t="s">
        <v>3</v>
      </c>
      <c r="K227" s="36" t="s">
        <v>603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1:59" s="9" customFormat="1" ht="45" x14ac:dyDescent="0.25">
      <c r="A228" s="31"/>
      <c r="B228" s="36">
        <v>223</v>
      </c>
      <c r="C228" s="36" t="s">
        <v>508</v>
      </c>
      <c r="D228" s="36" t="s">
        <v>110</v>
      </c>
      <c r="E228" s="36" t="s">
        <v>304</v>
      </c>
      <c r="F228" s="39">
        <v>1100</v>
      </c>
      <c r="G228" s="36" t="s">
        <v>565</v>
      </c>
      <c r="H228" s="36" t="s">
        <v>56</v>
      </c>
      <c r="I228" s="36" t="s">
        <v>24</v>
      </c>
      <c r="J228" s="46" t="s">
        <v>3</v>
      </c>
      <c r="K228" s="36" t="s">
        <v>604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1:59" s="9" customFormat="1" ht="90" x14ac:dyDescent="0.25">
      <c r="A229" s="31"/>
      <c r="B229" s="36">
        <v>224</v>
      </c>
      <c r="C229" s="36" t="s">
        <v>509</v>
      </c>
      <c r="D229" s="36" t="s">
        <v>510</v>
      </c>
      <c r="E229" s="36" t="s">
        <v>583</v>
      </c>
      <c r="F229" s="39">
        <v>7500</v>
      </c>
      <c r="G229" s="36" t="s">
        <v>565</v>
      </c>
      <c r="H229" s="36" t="s">
        <v>56</v>
      </c>
      <c r="I229" s="36" t="s">
        <v>24</v>
      </c>
      <c r="J229" s="51" t="s">
        <v>398</v>
      </c>
      <c r="K229" s="36" t="s">
        <v>582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1:59" s="9" customFormat="1" ht="45" x14ac:dyDescent="0.25">
      <c r="A230" s="31"/>
      <c r="B230" s="36">
        <v>225</v>
      </c>
      <c r="C230" s="36" t="s">
        <v>508</v>
      </c>
      <c r="D230" s="36" t="s">
        <v>110</v>
      </c>
      <c r="E230" s="36" t="s">
        <v>602</v>
      </c>
      <c r="F230" s="39">
        <v>1400</v>
      </c>
      <c r="G230" s="36" t="s">
        <v>282</v>
      </c>
      <c r="H230" s="36" t="s">
        <v>56</v>
      </c>
      <c r="I230" s="36" t="s">
        <v>24</v>
      </c>
      <c r="J230" s="46" t="s">
        <v>3</v>
      </c>
      <c r="K230" s="36" t="s">
        <v>600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1:59" s="9" customFormat="1" ht="45" x14ac:dyDescent="0.25">
      <c r="A231" s="31"/>
      <c r="B231" s="36">
        <v>226</v>
      </c>
      <c r="C231" s="36" t="s">
        <v>511</v>
      </c>
      <c r="D231" s="36" t="s">
        <v>232</v>
      </c>
      <c r="E231" s="36">
        <v>910</v>
      </c>
      <c r="F231" s="39">
        <v>910</v>
      </c>
      <c r="G231" s="36" t="s">
        <v>282</v>
      </c>
      <c r="H231" s="36" t="s">
        <v>56</v>
      </c>
      <c r="I231" s="36" t="s">
        <v>24</v>
      </c>
      <c r="J231" s="46" t="s">
        <v>3</v>
      </c>
      <c r="K231" s="36" t="s">
        <v>601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1:59" s="9" customFormat="1" ht="45" x14ac:dyDescent="0.25">
      <c r="A232" s="31"/>
      <c r="B232" s="36">
        <v>227</v>
      </c>
      <c r="C232" s="36" t="s">
        <v>505</v>
      </c>
      <c r="D232" s="36" t="s">
        <v>278</v>
      </c>
      <c r="E232" s="36" t="s">
        <v>719</v>
      </c>
      <c r="F232" s="39">
        <v>3938</v>
      </c>
      <c r="G232" s="36" t="s">
        <v>282</v>
      </c>
      <c r="H232" s="36" t="s">
        <v>56</v>
      </c>
      <c r="I232" s="36" t="s">
        <v>24</v>
      </c>
      <c r="J232" s="46" t="s">
        <v>3</v>
      </c>
      <c r="K232" s="36" t="s">
        <v>585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1:59" s="9" customFormat="1" ht="45" x14ac:dyDescent="0.25">
      <c r="A233" s="31"/>
      <c r="B233" s="36">
        <v>228</v>
      </c>
      <c r="C233" s="36" t="s">
        <v>505</v>
      </c>
      <c r="D233" s="36" t="s">
        <v>278</v>
      </c>
      <c r="E233" s="36" t="s">
        <v>720</v>
      </c>
      <c r="F233" s="39">
        <v>3776</v>
      </c>
      <c r="G233" s="36" t="s">
        <v>282</v>
      </c>
      <c r="H233" s="36" t="s">
        <v>56</v>
      </c>
      <c r="I233" s="36" t="s">
        <v>24</v>
      </c>
      <c r="J233" s="46" t="s">
        <v>3</v>
      </c>
      <c r="K233" s="36" t="s">
        <v>586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1:59" s="9" customFormat="1" ht="45.75" x14ac:dyDescent="0.25">
      <c r="A234" s="31"/>
      <c r="B234" s="36">
        <v>229</v>
      </c>
      <c r="C234" s="36" t="s">
        <v>512</v>
      </c>
      <c r="D234" s="36" t="s">
        <v>513</v>
      </c>
      <c r="E234" s="36">
        <v>120</v>
      </c>
      <c r="F234" s="39">
        <v>120</v>
      </c>
      <c r="G234" s="36" t="s">
        <v>566</v>
      </c>
      <c r="H234" s="36" t="s">
        <v>56</v>
      </c>
      <c r="I234" s="36" t="s">
        <v>24</v>
      </c>
      <c r="J234" s="46" t="s">
        <v>6</v>
      </c>
      <c r="K234" s="36" t="s">
        <v>587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1:59" s="9" customFormat="1" ht="33.75" x14ac:dyDescent="0.25">
      <c r="A235" s="31"/>
      <c r="B235" s="36">
        <v>230</v>
      </c>
      <c r="C235" s="36" t="s">
        <v>514</v>
      </c>
      <c r="D235" s="36" t="s">
        <v>280</v>
      </c>
      <c r="E235" s="36">
        <f>1872.93+1976.22+1859.91+1965.75+2084.45+1949.54+1918.44+1890.61+1906.47</f>
        <v>17424.32</v>
      </c>
      <c r="F235" s="39">
        <v>30000</v>
      </c>
      <c r="G235" s="36" t="s">
        <v>566</v>
      </c>
      <c r="H235" s="36" t="s">
        <v>567</v>
      </c>
      <c r="I235" s="36" t="s">
        <v>7</v>
      </c>
      <c r="J235" s="51"/>
      <c r="K235" s="36" t="s">
        <v>588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1:59" s="9" customFormat="1" ht="45" x14ac:dyDescent="0.25">
      <c r="A236" s="31"/>
      <c r="B236" s="36">
        <v>231</v>
      </c>
      <c r="C236" s="36" t="s">
        <v>624</v>
      </c>
      <c r="D236" s="36" t="s">
        <v>108</v>
      </c>
      <c r="E236" s="36">
        <v>480</v>
      </c>
      <c r="F236" s="39">
        <v>480</v>
      </c>
      <c r="G236" s="36" t="s">
        <v>566</v>
      </c>
      <c r="H236" s="36" t="s">
        <v>56</v>
      </c>
      <c r="I236" s="36" t="s">
        <v>24</v>
      </c>
      <c r="J236" s="46" t="s">
        <v>3</v>
      </c>
      <c r="K236" s="36" t="s">
        <v>643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1:59" s="9" customFormat="1" ht="45" x14ac:dyDescent="0.25">
      <c r="A237" s="31"/>
      <c r="B237" s="36">
        <v>232</v>
      </c>
      <c r="C237" s="36" t="s">
        <v>515</v>
      </c>
      <c r="D237" s="36" t="s">
        <v>5</v>
      </c>
      <c r="E237" s="36">
        <v>175</v>
      </c>
      <c r="F237" s="39">
        <v>175</v>
      </c>
      <c r="G237" s="36" t="s">
        <v>566</v>
      </c>
      <c r="H237" s="36" t="s">
        <v>56</v>
      </c>
      <c r="I237" s="36" t="s">
        <v>24</v>
      </c>
      <c r="J237" s="46" t="s">
        <v>3</v>
      </c>
      <c r="K237" s="36" t="s">
        <v>589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1:59" s="9" customFormat="1" ht="45" x14ac:dyDescent="0.25">
      <c r="A238" s="31"/>
      <c r="B238" s="36">
        <v>233</v>
      </c>
      <c r="C238" s="36" t="s">
        <v>516</v>
      </c>
      <c r="D238" s="36" t="s">
        <v>110</v>
      </c>
      <c r="E238" s="36">
        <v>600</v>
      </c>
      <c r="F238" s="39">
        <v>600</v>
      </c>
      <c r="G238" s="36" t="s">
        <v>566</v>
      </c>
      <c r="H238" s="36" t="s">
        <v>56</v>
      </c>
      <c r="I238" s="36" t="s">
        <v>24</v>
      </c>
      <c r="J238" s="46" t="s">
        <v>3</v>
      </c>
      <c r="K238" s="36" t="s">
        <v>590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1:59" s="9" customFormat="1" ht="45" x14ac:dyDescent="0.25">
      <c r="A239" s="31"/>
      <c r="B239" s="36">
        <v>234</v>
      </c>
      <c r="C239" s="36" t="s">
        <v>517</v>
      </c>
      <c r="D239" s="36" t="s">
        <v>5</v>
      </c>
      <c r="E239" s="36">
        <v>248.7</v>
      </c>
      <c r="F239" s="39">
        <v>250</v>
      </c>
      <c r="G239" s="36" t="s">
        <v>566</v>
      </c>
      <c r="H239" s="36" t="s">
        <v>56</v>
      </c>
      <c r="I239" s="36" t="s">
        <v>24</v>
      </c>
      <c r="J239" s="46" t="s">
        <v>3</v>
      </c>
      <c r="K239" s="36" t="s">
        <v>591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1:59" s="3" customFormat="1" ht="45" x14ac:dyDescent="0.25">
      <c r="A240" s="30"/>
      <c r="B240" s="36">
        <v>235</v>
      </c>
      <c r="C240" s="56" t="s">
        <v>518</v>
      </c>
      <c r="D240" s="36" t="s">
        <v>232</v>
      </c>
      <c r="E240" s="36">
        <v>250</v>
      </c>
      <c r="F240" s="39">
        <v>250</v>
      </c>
      <c r="G240" s="36" t="s">
        <v>566</v>
      </c>
      <c r="H240" s="36" t="s">
        <v>56</v>
      </c>
      <c r="I240" s="36" t="s">
        <v>24</v>
      </c>
      <c r="J240" s="46" t="s">
        <v>3</v>
      </c>
      <c r="K240" s="36" t="s">
        <v>592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1:16245" s="3" customFormat="1" ht="90" x14ac:dyDescent="0.25">
      <c r="A241" s="30"/>
      <c r="B241" s="36">
        <v>236</v>
      </c>
      <c r="C241" s="36" t="s">
        <v>519</v>
      </c>
      <c r="D241" s="36" t="s">
        <v>520</v>
      </c>
      <c r="E241" s="36">
        <f>152+332+775+40+15+245+15+8546+279+52</f>
        <v>10451</v>
      </c>
      <c r="F241" s="39">
        <v>10000</v>
      </c>
      <c r="G241" s="36" t="s">
        <v>566</v>
      </c>
      <c r="H241" s="47" t="s">
        <v>28</v>
      </c>
      <c r="I241" s="36" t="s">
        <v>24</v>
      </c>
      <c r="J241" s="51" t="s">
        <v>398</v>
      </c>
      <c r="K241" s="36" t="s">
        <v>607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1:16245" s="9" customFormat="1" ht="45" x14ac:dyDescent="0.25">
      <c r="A242" s="31"/>
      <c r="B242" s="36">
        <v>237</v>
      </c>
      <c r="C242" s="36" t="s">
        <v>521</v>
      </c>
      <c r="D242" s="36" t="s">
        <v>232</v>
      </c>
      <c r="E242" s="36" t="s">
        <v>638</v>
      </c>
      <c r="F242" s="39">
        <v>1575</v>
      </c>
      <c r="G242" s="36" t="s">
        <v>566</v>
      </c>
      <c r="H242" s="36" t="s">
        <v>56</v>
      </c>
      <c r="I242" s="36" t="s">
        <v>24</v>
      </c>
      <c r="J242" s="46" t="s">
        <v>3</v>
      </c>
      <c r="K242" s="36" t="s">
        <v>593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1:16245" s="9" customFormat="1" ht="45" x14ac:dyDescent="0.25">
      <c r="A243" s="31"/>
      <c r="B243" s="36">
        <v>238</v>
      </c>
      <c r="C243" s="36" t="s">
        <v>522</v>
      </c>
      <c r="D243" s="36" t="s">
        <v>110</v>
      </c>
      <c r="E243" s="36" t="s">
        <v>608</v>
      </c>
      <c r="F243" s="39">
        <v>2000</v>
      </c>
      <c r="G243" s="36" t="s">
        <v>566</v>
      </c>
      <c r="H243" s="36" t="s">
        <v>56</v>
      </c>
      <c r="I243" s="36" t="s">
        <v>24</v>
      </c>
      <c r="J243" s="46" t="s">
        <v>3</v>
      </c>
      <c r="K243" s="36" t="s">
        <v>594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1:16245" ht="90" x14ac:dyDescent="0.25">
      <c r="A244" s="29"/>
      <c r="B244" s="36">
        <v>239</v>
      </c>
      <c r="C244" s="36" t="s">
        <v>609</v>
      </c>
      <c r="D244" s="36" t="s">
        <v>610</v>
      </c>
      <c r="E244" s="36" t="s">
        <v>583</v>
      </c>
      <c r="F244" s="39">
        <v>7500</v>
      </c>
      <c r="G244" s="36" t="s">
        <v>566</v>
      </c>
      <c r="H244" s="36" t="s">
        <v>56</v>
      </c>
      <c r="I244" s="36" t="s">
        <v>24</v>
      </c>
      <c r="J244" s="51" t="s">
        <v>398</v>
      </c>
      <c r="K244" s="36" t="s">
        <v>595</v>
      </c>
    </row>
    <row r="245" spans="1:16245" s="9" customFormat="1" ht="45.75" x14ac:dyDescent="0.25">
      <c r="A245" s="31"/>
      <c r="B245" s="36">
        <v>240</v>
      </c>
      <c r="C245" s="36" t="s">
        <v>611</v>
      </c>
      <c r="D245" s="36" t="s">
        <v>612</v>
      </c>
      <c r="E245" s="36">
        <v>50</v>
      </c>
      <c r="F245" s="39">
        <v>50</v>
      </c>
      <c r="G245" s="36" t="s">
        <v>566</v>
      </c>
      <c r="H245" s="36" t="s">
        <v>56</v>
      </c>
      <c r="I245" s="36" t="s">
        <v>24</v>
      </c>
      <c r="J245" s="46" t="s">
        <v>6</v>
      </c>
      <c r="K245" s="36" t="s">
        <v>729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1:16245" s="9" customFormat="1" ht="45" x14ac:dyDescent="0.25">
      <c r="A246" s="31"/>
      <c r="B246" s="36">
        <v>241</v>
      </c>
      <c r="C246" s="36" t="s">
        <v>613</v>
      </c>
      <c r="D246" s="36" t="s">
        <v>108</v>
      </c>
      <c r="E246" s="36">
        <f>24.75+1844.7+45.1+325.05</f>
        <v>2239.6</v>
      </c>
      <c r="F246" s="39">
        <v>3000</v>
      </c>
      <c r="G246" s="36" t="s">
        <v>631</v>
      </c>
      <c r="H246" s="36" t="s">
        <v>28</v>
      </c>
      <c r="I246" s="36" t="s">
        <v>24</v>
      </c>
      <c r="J246" s="46" t="s">
        <v>3</v>
      </c>
      <c r="K246" s="36" t="s">
        <v>596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1:16245" s="9" customFormat="1" ht="45" x14ac:dyDescent="0.25">
      <c r="A247" s="31"/>
      <c r="B247" s="36">
        <v>242</v>
      </c>
      <c r="C247" s="36" t="s">
        <v>613</v>
      </c>
      <c r="D247" s="36" t="s">
        <v>5</v>
      </c>
      <c r="E247" s="36">
        <f>2160+320+240+480+3840+3240+360+240+240+2080+1900+480</f>
        <v>15580</v>
      </c>
      <c r="F247" s="39">
        <v>20000</v>
      </c>
      <c r="G247" s="36" t="s">
        <v>631</v>
      </c>
      <c r="H247" s="36" t="s">
        <v>28</v>
      </c>
      <c r="I247" s="48" t="s">
        <v>24</v>
      </c>
      <c r="J247" s="46" t="s">
        <v>3</v>
      </c>
      <c r="K247" s="36" t="s">
        <v>597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1:16245" s="9" customFormat="1" ht="90" x14ac:dyDescent="0.25">
      <c r="A248" s="31"/>
      <c r="B248" s="36">
        <v>243</v>
      </c>
      <c r="C248" s="36" t="s">
        <v>614</v>
      </c>
      <c r="D248" s="36" t="s">
        <v>615</v>
      </c>
      <c r="E248" s="36" t="s">
        <v>725</v>
      </c>
      <c r="F248" s="39">
        <v>32000</v>
      </c>
      <c r="G248" s="36" t="s">
        <v>631</v>
      </c>
      <c r="H248" s="36" t="s">
        <v>56</v>
      </c>
      <c r="I248" s="48" t="s">
        <v>24</v>
      </c>
      <c r="J248" s="51" t="s">
        <v>398</v>
      </c>
      <c r="K248" s="36" t="s">
        <v>598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1:16245" s="9" customFormat="1" ht="45" x14ac:dyDescent="0.25">
      <c r="A249" s="31"/>
      <c r="B249" s="36">
        <v>244</v>
      </c>
      <c r="C249" s="36" t="s">
        <v>616</v>
      </c>
      <c r="D249" s="36" t="s">
        <v>108</v>
      </c>
      <c r="E249" s="36">
        <v>550</v>
      </c>
      <c r="F249" s="39">
        <v>550</v>
      </c>
      <c r="G249" s="36" t="s">
        <v>631</v>
      </c>
      <c r="H249" s="36" t="s">
        <v>56</v>
      </c>
      <c r="I249" s="48" t="s">
        <v>24</v>
      </c>
      <c r="J249" s="46" t="s">
        <v>3</v>
      </c>
      <c r="K249" s="36" t="s">
        <v>1125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1:16245" s="9" customFormat="1" ht="45" x14ac:dyDescent="0.25">
      <c r="A250" s="31"/>
      <c r="B250" s="36">
        <v>245</v>
      </c>
      <c r="C250" s="36" t="s">
        <v>616</v>
      </c>
      <c r="D250" s="36" t="s">
        <v>5</v>
      </c>
      <c r="E250" s="36" t="s">
        <v>732</v>
      </c>
      <c r="F250" s="39">
        <v>1250</v>
      </c>
      <c r="G250" s="36" t="s">
        <v>631</v>
      </c>
      <c r="H250" s="36" t="s">
        <v>56</v>
      </c>
      <c r="I250" s="48" t="s">
        <v>24</v>
      </c>
      <c r="J250" s="46" t="s">
        <v>3</v>
      </c>
      <c r="K250" s="36" t="s">
        <v>731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1:16245" s="9" customFormat="1" ht="45" x14ac:dyDescent="0.25">
      <c r="A251" s="31"/>
      <c r="B251" s="36">
        <v>246</v>
      </c>
      <c r="C251" s="36" t="s">
        <v>617</v>
      </c>
      <c r="D251" s="36" t="s">
        <v>110</v>
      </c>
      <c r="E251" s="36" t="s">
        <v>724</v>
      </c>
      <c r="F251" s="39">
        <v>2030.5</v>
      </c>
      <c r="G251" s="36" t="s">
        <v>632</v>
      </c>
      <c r="H251" s="36" t="s">
        <v>56</v>
      </c>
      <c r="I251" s="48" t="s">
        <v>24</v>
      </c>
      <c r="J251" s="46" t="s">
        <v>3</v>
      </c>
      <c r="K251" s="36" t="s">
        <v>723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1:16245" s="9" customFormat="1" ht="45" x14ac:dyDescent="0.25">
      <c r="A252" s="31"/>
      <c r="B252" s="36">
        <v>247</v>
      </c>
      <c r="C252" s="36" t="s">
        <v>516</v>
      </c>
      <c r="D252" s="36" t="s">
        <v>110</v>
      </c>
      <c r="E252" s="36" t="s">
        <v>637</v>
      </c>
      <c r="F252" s="39">
        <v>4200</v>
      </c>
      <c r="G252" s="36" t="s">
        <v>633</v>
      </c>
      <c r="H252" s="36" t="s">
        <v>56</v>
      </c>
      <c r="I252" s="36" t="s">
        <v>24</v>
      </c>
      <c r="J252" s="46" t="s">
        <v>3</v>
      </c>
      <c r="K252" s="36" t="s">
        <v>636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1:16245" s="9" customFormat="1" ht="90" x14ac:dyDescent="0.25">
      <c r="A253" s="31"/>
      <c r="B253" s="36">
        <v>248</v>
      </c>
      <c r="C253" s="36" t="s">
        <v>618</v>
      </c>
      <c r="D253" s="36" t="s">
        <v>619</v>
      </c>
      <c r="E253" s="36">
        <f>140670.75+25960+179004.99+32450+5902.62+22715</f>
        <v>406703.35999999999</v>
      </c>
      <c r="F253" s="39" t="s">
        <v>2611</v>
      </c>
      <c r="G253" s="36" t="s">
        <v>633</v>
      </c>
      <c r="H253" s="36" t="s">
        <v>56</v>
      </c>
      <c r="I253" s="36" t="s">
        <v>24</v>
      </c>
      <c r="J253" s="51" t="s">
        <v>398</v>
      </c>
      <c r="K253" s="36" t="s">
        <v>747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1:16245" s="9" customFormat="1" ht="90" x14ac:dyDescent="0.25">
      <c r="A254" s="31"/>
      <c r="B254" s="36">
        <v>249</v>
      </c>
      <c r="C254" s="36" t="s">
        <v>620</v>
      </c>
      <c r="D254" s="36" t="s">
        <v>621</v>
      </c>
      <c r="E254" s="36" t="s">
        <v>1492</v>
      </c>
      <c r="F254" s="39">
        <v>5250</v>
      </c>
      <c r="G254" s="36" t="s">
        <v>633</v>
      </c>
      <c r="H254" s="36" t="s">
        <v>56</v>
      </c>
      <c r="I254" s="36" t="s">
        <v>24</v>
      </c>
      <c r="J254" s="51" t="s">
        <v>398</v>
      </c>
      <c r="K254" s="36" t="s">
        <v>748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1:16245" s="9" customFormat="1" ht="33.75" x14ac:dyDescent="0.25">
      <c r="A255" s="29"/>
      <c r="B255" s="36">
        <v>249</v>
      </c>
      <c r="C255" s="36" t="s">
        <v>42</v>
      </c>
      <c r="D255" s="36" t="s">
        <v>280</v>
      </c>
      <c r="E255" s="36" t="s">
        <v>1148</v>
      </c>
      <c r="F255" s="39">
        <v>25000</v>
      </c>
      <c r="G255" s="36" t="s">
        <v>281</v>
      </c>
      <c r="H255" s="36" t="s">
        <v>282</v>
      </c>
      <c r="I255" s="36" t="s">
        <v>7</v>
      </c>
      <c r="J255" s="51"/>
      <c r="K255" s="36" t="s">
        <v>283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  <c r="JM255" s="11"/>
      <c r="JN255" s="11"/>
      <c r="JO255" s="11"/>
      <c r="JP255" s="11"/>
      <c r="JQ255" s="11"/>
      <c r="JR255" s="11"/>
      <c r="JS255" s="11"/>
      <c r="JT255" s="11"/>
      <c r="JU255" s="11"/>
      <c r="JV255" s="11"/>
      <c r="JW255" s="11"/>
      <c r="JX255" s="11"/>
      <c r="JY255" s="11"/>
      <c r="JZ255" s="11"/>
      <c r="KA255" s="11"/>
      <c r="KB255" s="11"/>
      <c r="KC255" s="11"/>
      <c r="KD255" s="11"/>
      <c r="KE255" s="11"/>
      <c r="KF255" s="11"/>
      <c r="KG255" s="11"/>
      <c r="KH255" s="11"/>
      <c r="KI255" s="11"/>
      <c r="KJ255" s="11"/>
      <c r="KK255" s="11"/>
      <c r="KL255" s="11"/>
      <c r="KM255" s="11"/>
      <c r="KN255" s="11"/>
      <c r="KO255" s="11"/>
      <c r="KP255" s="11"/>
      <c r="KQ255" s="11"/>
      <c r="KR255" s="11"/>
      <c r="KS255" s="11"/>
      <c r="KT255" s="11"/>
      <c r="KU255" s="11"/>
      <c r="KV255" s="11"/>
      <c r="KW255" s="11"/>
      <c r="KX255" s="11"/>
      <c r="KY255" s="11"/>
      <c r="KZ255" s="11"/>
      <c r="LA255" s="11"/>
      <c r="LB255" s="11"/>
      <c r="LC255" s="11"/>
      <c r="LD255" s="11"/>
      <c r="LE255" s="11"/>
      <c r="LF255" s="11"/>
      <c r="LG255" s="11"/>
      <c r="LH255" s="11"/>
      <c r="LI255" s="11"/>
      <c r="LJ255" s="11"/>
      <c r="LK255" s="11"/>
      <c r="LL255" s="11"/>
      <c r="LM255" s="11"/>
      <c r="LN255" s="11"/>
      <c r="LO255" s="11"/>
      <c r="LP255" s="11"/>
      <c r="LQ255" s="11"/>
      <c r="LR255" s="11"/>
      <c r="LS255" s="11"/>
      <c r="LT255" s="11"/>
      <c r="LU255" s="11"/>
      <c r="LV255" s="11"/>
      <c r="LW255" s="11"/>
      <c r="LX255" s="11"/>
      <c r="LY255" s="11"/>
      <c r="LZ255" s="11"/>
      <c r="MA255" s="11"/>
      <c r="MB255" s="11"/>
      <c r="MC255" s="11"/>
      <c r="MD255" s="11"/>
      <c r="ME255" s="11"/>
      <c r="MF255" s="11"/>
      <c r="MG255" s="11"/>
      <c r="MH255" s="11"/>
      <c r="MI255" s="11"/>
      <c r="MJ255" s="11"/>
      <c r="MK255" s="11"/>
      <c r="ML255" s="11"/>
      <c r="MM255" s="11"/>
      <c r="MN255" s="11"/>
      <c r="MO255" s="11"/>
      <c r="MP255" s="11"/>
      <c r="MQ255" s="11"/>
      <c r="MR255" s="11"/>
      <c r="MS255" s="11"/>
      <c r="MT255" s="11"/>
      <c r="MU255" s="11"/>
      <c r="MV255" s="11"/>
      <c r="MW255" s="11"/>
      <c r="MX255" s="11"/>
      <c r="MY255" s="11"/>
      <c r="MZ255" s="11"/>
      <c r="NA255" s="11"/>
      <c r="NB255" s="11"/>
      <c r="NC255" s="11"/>
      <c r="ND255" s="11"/>
      <c r="NE255" s="11"/>
      <c r="NF255" s="11"/>
      <c r="NG255" s="11"/>
      <c r="NH255" s="11"/>
      <c r="NI255" s="11"/>
      <c r="NJ255" s="11"/>
      <c r="NK255" s="11"/>
      <c r="NL255" s="11"/>
      <c r="NM255" s="11"/>
      <c r="NN255" s="11"/>
      <c r="NO255" s="11"/>
      <c r="NP255" s="11"/>
      <c r="NQ255" s="11"/>
      <c r="NR255" s="11"/>
      <c r="NS255" s="11"/>
      <c r="NT255" s="11"/>
      <c r="NU255" s="11"/>
      <c r="NV255" s="11"/>
      <c r="NW255" s="11"/>
      <c r="NX255" s="11"/>
      <c r="NY255" s="11"/>
      <c r="NZ255" s="11"/>
      <c r="OA255" s="11"/>
      <c r="OB255" s="11"/>
      <c r="OC255" s="11"/>
      <c r="OD255" s="11"/>
      <c r="OE255" s="11"/>
      <c r="OF255" s="11"/>
      <c r="OG255" s="11"/>
      <c r="OH255" s="11"/>
      <c r="OI255" s="11"/>
      <c r="OJ255" s="11"/>
      <c r="OK255" s="11"/>
      <c r="OL255" s="11"/>
      <c r="OM255" s="11"/>
      <c r="ON255" s="11"/>
      <c r="OO255" s="11"/>
      <c r="OP255" s="11"/>
      <c r="OQ255" s="11"/>
      <c r="OR255" s="11"/>
      <c r="OS255" s="11"/>
      <c r="OT255" s="11"/>
      <c r="OU255" s="11"/>
      <c r="OV255" s="11"/>
      <c r="OW255" s="11"/>
      <c r="OX255" s="11"/>
      <c r="OY255" s="11"/>
      <c r="OZ255" s="11"/>
      <c r="PA255" s="11"/>
      <c r="PB255" s="11"/>
      <c r="PC255" s="11"/>
      <c r="PD255" s="11"/>
      <c r="PE255" s="11"/>
      <c r="PF255" s="11"/>
      <c r="PG255" s="11"/>
      <c r="PH255" s="11"/>
      <c r="PI255" s="11"/>
      <c r="PJ255" s="11"/>
      <c r="PK255" s="11"/>
      <c r="PL255" s="11"/>
      <c r="PM255" s="11"/>
      <c r="PN255" s="11"/>
      <c r="PO255" s="11"/>
      <c r="PP255" s="11"/>
      <c r="PQ255" s="11"/>
      <c r="PR255" s="11"/>
      <c r="PS255" s="11"/>
      <c r="PT255" s="11"/>
      <c r="PU255" s="11"/>
      <c r="PV255" s="11"/>
      <c r="PW255" s="11"/>
      <c r="PX255" s="11"/>
      <c r="PY255" s="11"/>
      <c r="PZ255" s="11"/>
      <c r="QA255" s="11"/>
      <c r="QB255" s="11"/>
      <c r="QC255" s="11"/>
      <c r="QD255" s="11"/>
      <c r="QE255" s="11"/>
      <c r="QF255" s="11"/>
      <c r="QG255" s="11"/>
      <c r="QH255" s="11"/>
      <c r="QI255" s="11"/>
      <c r="QJ255" s="11"/>
      <c r="QK255" s="11"/>
      <c r="QL255" s="11"/>
      <c r="QM255" s="11"/>
      <c r="QN255" s="11"/>
      <c r="QO255" s="11"/>
      <c r="QP255" s="11"/>
      <c r="QQ255" s="11"/>
      <c r="QR255" s="11"/>
      <c r="QS255" s="11"/>
      <c r="QT255" s="11"/>
      <c r="QU255" s="11"/>
      <c r="QV255" s="11"/>
      <c r="QW255" s="11"/>
      <c r="QX255" s="11"/>
      <c r="QY255" s="11"/>
      <c r="QZ255" s="11"/>
      <c r="RA255" s="11"/>
      <c r="RB255" s="11"/>
      <c r="RC255" s="11"/>
      <c r="RD255" s="11"/>
      <c r="RE255" s="11"/>
      <c r="RF255" s="11"/>
      <c r="RG255" s="11"/>
      <c r="RH255" s="11"/>
      <c r="RI255" s="11"/>
      <c r="RJ255" s="11"/>
      <c r="RK255" s="11"/>
      <c r="RL255" s="11"/>
      <c r="RM255" s="11"/>
      <c r="RN255" s="11"/>
      <c r="RO255" s="11"/>
      <c r="RP255" s="11"/>
      <c r="RQ255" s="11"/>
      <c r="RR255" s="11"/>
      <c r="RS255" s="11"/>
      <c r="RT255" s="11"/>
      <c r="RU255" s="11"/>
      <c r="RV255" s="11"/>
      <c r="RW255" s="11"/>
      <c r="RX255" s="11"/>
      <c r="RY255" s="11"/>
      <c r="RZ255" s="11"/>
      <c r="SA255" s="11"/>
      <c r="SB255" s="11"/>
      <c r="SC255" s="11"/>
      <c r="SD255" s="11"/>
      <c r="SE255" s="11"/>
      <c r="SF255" s="11"/>
      <c r="SG255" s="11"/>
      <c r="SH255" s="11"/>
      <c r="SI255" s="11"/>
      <c r="SJ255" s="11"/>
      <c r="SK255" s="11"/>
      <c r="SL255" s="11"/>
      <c r="SM255" s="11"/>
      <c r="SN255" s="11"/>
      <c r="SO255" s="11"/>
      <c r="SP255" s="11"/>
      <c r="SQ255" s="11"/>
      <c r="SR255" s="11"/>
      <c r="SS255" s="11"/>
      <c r="ST255" s="11"/>
      <c r="SU255" s="11"/>
      <c r="SV255" s="11"/>
      <c r="SW255" s="11"/>
      <c r="SX255" s="11"/>
      <c r="SY255" s="11"/>
      <c r="SZ255" s="11"/>
      <c r="TA255" s="11"/>
      <c r="TB255" s="11"/>
      <c r="TC255" s="11"/>
      <c r="TD255" s="11"/>
      <c r="TE255" s="11"/>
      <c r="TF255" s="11"/>
      <c r="TG255" s="11"/>
      <c r="TH255" s="11"/>
      <c r="TI255" s="11"/>
      <c r="TJ255" s="11"/>
      <c r="TK255" s="11"/>
      <c r="TL255" s="11"/>
      <c r="TM255" s="11"/>
      <c r="TN255" s="11"/>
      <c r="TO255" s="11"/>
      <c r="TP255" s="11"/>
      <c r="TQ255" s="11"/>
      <c r="TR255" s="11"/>
      <c r="TS255" s="11"/>
      <c r="TT255" s="11"/>
      <c r="TU255" s="11"/>
      <c r="TV255" s="11"/>
      <c r="TW255" s="11"/>
      <c r="TX255" s="11"/>
      <c r="TY255" s="11"/>
      <c r="TZ255" s="11"/>
      <c r="UA255" s="11"/>
      <c r="UB255" s="11"/>
      <c r="UC255" s="11"/>
      <c r="UD255" s="11"/>
      <c r="UE255" s="11"/>
      <c r="UF255" s="11"/>
      <c r="UG255" s="11"/>
      <c r="UH255" s="11"/>
      <c r="UI255" s="11"/>
      <c r="UJ255" s="11"/>
      <c r="UK255" s="11"/>
      <c r="UL255" s="11"/>
      <c r="UM255" s="11"/>
      <c r="UN255" s="11"/>
      <c r="UO255" s="11"/>
      <c r="UP255" s="11"/>
      <c r="UQ255" s="11"/>
      <c r="UR255" s="11"/>
      <c r="US255" s="11"/>
      <c r="UT255" s="11"/>
      <c r="UU255" s="11"/>
      <c r="UV255" s="11"/>
      <c r="UW255" s="11"/>
      <c r="UX255" s="11"/>
      <c r="UY255" s="11"/>
      <c r="UZ255" s="11"/>
      <c r="VA255" s="11"/>
      <c r="VB255" s="11"/>
      <c r="VC255" s="11"/>
      <c r="VD255" s="11"/>
      <c r="VE255" s="11"/>
      <c r="VF255" s="11"/>
      <c r="VG255" s="11"/>
      <c r="VH255" s="11"/>
      <c r="VI255" s="11"/>
      <c r="VJ255" s="11"/>
      <c r="VK255" s="11"/>
      <c r="VL255" s="11"/>
      <c r="VM255" s="11"/>
      <c r="VN255" s="11"/>
      <c r="VO255" s="11"/>
      <c r="VP255" s="11"/>
      <c r="VQ255" s="11"/>
      <c r="VR255" s="11"/>
      <c r="VS255" s="11"/>
      <c r="VT255" s="11"/>
      <c r="VU255" s="11"/>
      <c r="VV255" s="11"/>
      <c r="VW255" s="11"/>
      <c r="VX255" s="11"/>
      <c r="VY255" s="11"/>
      <c r="VZ255" s="11"/>
      <c r="WA255" s="11"/>
      <c r="WB255" s="11"/>
      <c r="WC255" s="11"/>
      <c r="WD255" s="11"/>
      <c r="WE255" s="11"/>
      <c r="WF255" s="11"/>
      <c r="WG255" s="11"/>
      <c r="WH255" s="11"/>
      <c r="WI255" s="11"/>
      <c r="WJ255" s="11"/>
      <c r="WK255" s="11"/>
      <c r="WL255" s="11"/>
      <c r="WM255" s="11"/>
      <c r="WN255" s="11"/>
      <c r="WO255" s="11"/>
      <c r="WP255" s="11"/>
      <c r="WQ255" s="11"/>
      <c r="WR255" s="11"/>
      <c r="WS255" s="11"/>
      <c r="WT255" s="11"/>
      <c r="WU255" s="11"/>
      <c r="WV255" s="11"/>
      <c r="WW255" s="11"/>
      <c r="WX255" s="11"/>
      <c r="WY255" s="11"/>
      <c r="WZ255" s="11"/>
      <c r="XA255" s="11"/>
      <c r="XB255" s="11"/>
      <c r="XC255" s="11"/>
      <c r="XD255" s="11"/>
      <c r="XE255" s="11"/>
      <c r="XF255" s="11"/>
      <c r="XG255" s="11"/>
      <c r="XH255" s="11"/>
      <c r="XI255" s="11"/>
      <c r="XJ255" s="11"/>
      <c r="XK255" s="11"/>
      <c r="XL255" s="11"/>
      <c r="XM255" s="11"/>
      <c r="XN255" s="11"/>
      <c r="XO255" s="11"/>
      <c r="XP255" s="11"/>
      <c r="XQ255" s="11"/>
      <c r="XR255" s="11"/>
      <c r="XS255" s="11"/>
      <c r="XT255" s="11"/>
      <c r="XU255" s="11"/>
      <c r="XV255" s="11"/>
      <c r="XW255" s="11"/>
      <c r="XX255" s="11"/>
      <c r="XY255" s="11"/>
      <c r="XZ255" s="11"/>
      <c r="YA255" s="11"/>
      <c r="YB255" s="11"/>
      <c r="YC255" s="11"/>
      <c r="YD255" s="11"/>
      <c r="YE255" s="11"/>
      <c r="YF255" s="11"/>
      <c r="YG255" s="11"/>
      <c r="YH255" s="11"/>
      <c r="YI255" s="11"/>
      <c r="YJ255" s="11"/>
      <c r="YK255" s="11"/>
      <c r="YL255" s="11"/>
      <c r="YM255" s="11"/>
      <c r="YN255" s="11"/>
      <c r="YO255" s="11"/>
      <c r="YP255" s="11"/>
      <c r="YQ255" s="11"/>
      <c r="YR255" s="11"/>
      <c r="YS255" s="11"/>
      <c r="YT255" s="11"/>
      <c r="YU255" s="11"/>
      <c r="YV255" s="11"/>
      <c r="YW255" s="11"/>
      <c r="YX255" s="11"/>
      <c r="YY255" s="11"/>
      <c r="YZ255" s="11"/>
      <c r="ZA255" s="11"/>
      <c r="ZB255" s="11"/>
      <c r="ZC255" s="11"/>
      <c r="ZD255" s="11"/>
      <c r="ZE255" s="11"/>
      <c r="ZF255" s="11"/>
      <c r="ZG255" s="11"/>
      <c r="ZH255" s="11"/>
      <c r="ZI255" s="11"/>
      <c r="ZJ255" s="11"/>
      <c r="ZK255" s="11"/>
      <c r="ZL255" s="11"/>
      <c r="ZM255" s="11"/>
      <c r="ZN255" s="11"/>
      <c r="ZO255" s="11"/>
      <c r="ZP255" s="11"/>
      <c r="ZQ255" s="11"/>
      <c r="ZR255" s="11"/>
      <c r="ZS255" s="11"/>
      <c r="ZT255" s="11"/>
      <c r="ZU255" s="11"/>
      <c r="ZV255" s="11"/>
      <c r="ZW255" s="11"/>
      <c r="ZX255" s="11"/>
      <c r="ZY255" s="11"/>
      <c r="ZZ255" s="11"/>
      <c r="AAA255" s="11"/>
      <c r="AAB255" s="11"/>
      <c r="AAC255" s="11"/>
      <c r="AAD255" s="11"/>
      <c r="AAE255" s="11"/>
      <c r="AAF255" s="11"/>
      <c r="AAG255" s="11"/>
      <c r="AAH255" s="11"/>
      <c r="AAI255" s="11"/>
      <c r="AAJ255" s="11"/>
      <c r="AAK255" s="11"/>
      <c r="AAL255" s="11"/>
      <c r="AAM255" s="11"/>
      <c r="AAN255" s="11"/>
      <c r="AAO255" s="11"/>
      <c r="AAP255" s="11"/>
      <c r="AAQ255" s="11"/>
      <c r="AAR255" s="11"/>
      <c r="AAS255" s="11"/>
      <c r="AAT255" s="11"/>
      <c r="AAU255" s="11"/>
      <c r="AAV255" s="11"/>
      <c r="AAW255" s="11"/>
      <c r="AAX255" s="11"/>
      <c r="AAY255" s="11"/>
      <c r="AAZ255" s="11"/>
      <c r="ABA255" s="11"/>
      <c r="ABB255" s="11"/>
      <c r="ABC255" s="11"/>
      <c r="ABD255" s="11"/>
      <c r="ABE255" s="11"/>
      <c r="ABF255" s="11"/>
      <c r="ABG255" s="11"/>
      <c r="ABH255" s="11"/>
      <c r="ABI255" s="11"/>
      <c r="ABJ255" s="11"/>
      <c r="ABK255" s="11"/>
      <c r="ABL255" s="11"/>
      <c r="ABM255" s="11"/>
      <c r="ABN255" s="11"/>
      <c r="ABO255" s="11"/>
      <c r="ABP255" s="11"/>
      <c r="ABQ255" s="11"/>
      <c r="ABR255" s="11"/>
      <c r="ABS255" s="11"/>
      <c r="ABT255" s="11"/>
      <c r="ABU255" s="11"/>
      <c r="ABV255" s="11"/>
      <c r="ABW255" s="11"/>
      <c r="ABX255" s="11"/>
      <c r="ABY255" s="11"/>
      <c r="ABZ255" s="11"/>
      <c r="ACA255" s="11"/>
      <c r="ACB255" s="11"/>
      <c r="ACC255" s="11"/>
      <c r="ACD255" s="11"/>
      <c r="ACE255" s="11"/>
      <c r="ACF255" s="11"/>
      <c r="ACG255" s="11"/>
      <c r="ACH255" s="11"/>
      <c r="ACI255" s="11"/>
      <c r="ACJ255" s="11"/>
      <c r="ACK255" s="11"/>
      <c r="ACL255" s="11"/>
      <c r="ACM255" s="11"/>
      <c r="ACN255" s="11"/>
      <c r="ACO255" s="11"/>
      <c r="ACP255" s="11"/>
      <c r="ACQ255" s="11"/>
      <c r="ACR255" s="11"/>
      <c r="ACS255" s="11"/>
      <c r="ACT255" s="11"/>
      <c r="ACU255" s="11"/>
      <c r="ACV255" s="11"/>
      <c r="ACW255" s="11"/>
      <c r="ACX255" s="11"/>
      <c r="ACY255" s="11"/>
      <c r="ACZ255" s="11"/>
      <c r="ADA255" s="11"/>
      <c r="ADB255" s="11"/>
      <c r="ADC255" s="11"/>
      <c r="ADD255" s="11"/>
      <c r="ADE255" s="11"/>
      <c r="ADF255" s="11"/>
      <c r="ADG255" s="11"/>
      <c r="ADH255" s="11"/>
      <c r="ADI255" s="11"/>
      <c r="ADJ255" s="11"/>
      <c r="ADK255" s="11"/>
      <c r="ADL255" s="11"/>
      <c r="ADM255" s="11"/>
      <c r="ADN255" s="11"/>
      <c r="ADO255" s="11"/>
      <c r="ADP255" s="11"/>
      <c r="ADQ255" s="11"/>
      <c r="ADR255" s="11"/>
      <c r="ADS255" s="11"/>
      <c r="ADT255" s="11"/>
      <c r="ADU255" s="11"/>
      <c r="ADV255" s="11"/>
      <c r="ADW255" s="11"/>
      <c r="ADX255" s="11"/>
      <c r="ADY255" s="11"/>
      <c r="ADZ255" s="11"/>
      <c r="AEA255" s="11"/>
      <c r="AEB255" s="11"/>
      <c r="AEC255" s="11"/>
      <c r="AED255" s="11"/>
      <c r="AEE255" s="11"/>
      <c r="AEF255" s="11"/>
      <c r="AEG255" s="11"/>
      <c r="AEH255" s="11"/>
      <c r="AEI255" s="11"/>
      <c r="AEJ255" s="11"/>
      <c r="AEK255" s="11"/>
      <c r="AEL255" s="11"/>
      <c r="AEM255" s="11"/>
      <c r="AEN255" s="11"/>
      <c r="AEO255" s="11"/>
      <c r="AEP255" s="11"/>
      <c r="AEQ255" s="11"/>
      <c r="AER255" s="11"/>
      <c r="AES255" s="11"/>
      <c r="AET255" s="11"/>
      <c r="AEU255" s="11"/>
      <c r="AEV255" s="11"/>
      <c r="AEW255" s="11"/>
      <c r="AEX255" s="11"/>
      <c r="AEY255" s="11"/>
      <c r="AEZ255" s="11"/>
      <c r="AFA255" s="11"/>
      <c r="AFB255" s="11"/>
      <c r="AFC255" s="11"/>
      <c r="AFD255" s="11"/>
      <c r="AFE255" s="11"/>
      <c r="AFF255" s="11"/>
      <c r="AFG255" s="11"/>
      <c r="AFH255" s="11"/>
      <c r="AFI255" s="11"/>
      <c r="AFJ255" s="11"/>
      <c r="AFK255" s="11"/>
      <c r="AFL255" s="11"/>
      <c r="AFM255" s="11"/>
      <c r="AFN255" s="11"/>
      <c r="AFO255" s="11"/>
      <c r="AFP255" s="11"/>
      <c r="AFQ255" s="11"/>
      <c r="AFR255" s="11"/>
      <c r="AFS255" s="11"/>
      <c r="AFT255" s="11"/>
      <c r="AFU255" s="11"/>
      <c r="AFV255" s="11"/>
      <c r="AFW255" s="11"/>
      <c r="AFX255" s="11"/>
      <c r="AFY255" s="11"/>
      <c r="AFZ255" s="11"/>
      <c r="AGA255" s="11"/>
      <c r="AGB255" s="11"/>
      <c r="AGC255" s="11"/>
      <c r="AGD255" s="11"/>
      <c r="AGE255" s="11"/>
      <c r="AGF255" s="11"/>
      <c r="AGG255" s="11"/>
      <c r="AGH255" s="11"/>
      <c r="AGI255" s="11"/>
      <c r="AGJ255" s="11"/>
      <c r="AGK255" s="11"/>
      <c r="AGL255" s="11"/>
      <c r="AGM255" s="11"/>
      <c r="AGN255" s="11"/>
      <c r="AGO255" s="11"/>
      <c r="AGP255" s="11"/>
      <c r="AGQ255" s="11"/>
      <c r="AGR255" s="11"/>
      <c r="AGS255" s="11"/>
      <c r="AGT255" s="11"/>
      <c r="AGU255" s="11"/>
      <c r="AGV255" s="11"/>
      <c r="AGW255" s="11"/>
      <c r="AGX255" s="11"/>
      <c r="AGY255" s="11"/>
      <c r="AGZ255" s="11"/>
      <c r="AHA255" s="11"/>
      <c r="AHB255" s="11"/>
      <c r="AHC255" s="11"/>
      <c r="AHD255" s="11"/>
      <c r="AHE255" s="11"/>
      <c r="AHF255" s="11"/>
      <c r="AHG255" s="11"/>
      <c r="AHH255" s="11"/>
      <c r="AHI255" s="11"/>
      <c r="AHJ255" s="11"/>
      <c r="AHK255" s="11"/>
      <c r="AHL255" s="11"/>
      <c r="AHM255" s="11"/>
      <c r="AHN255" s="11"/>
      <c r="AHO255" s="11"/>
      <c r="AHP255" s="11"/>
      <c r="AHQ255" s="11"/>
      <c r="AHR255" s="11"/>
      <c r="AHS255" s="11"/>
      <c r="AHT255" s="11"/>
      <c r="AHU255" s="11"/>
      <c r="AHV255" s="11"/>
      <c r="AHW255" s="11"/>
      <c r="AHX255" s="11"/>
      <c r="AHY255" s="11"/>
      <c r="AHZ255" s="11"/>
      <c r="AIA255" s="11"/>
      <c r="AIB255" s="11"/>
      <c r="AIC255" s="11"/>
      <c r="AID255" s="11"/>
      <c r="AIE255" s="11"/>
      <c r="AIF255" s="11"/>
      <c r="AIG255" s="11"/>
      <c r="AIH255" s="11"/>
      <c r="AII255" s="11"/>
      <c r="AIJ255" s="11"/>
      <c r="AIK255" s="11"/>
      <c r="AIL255" s="11"/>
      <c r="AIM255" s="11"/>
      <c r="AIN255" s="11"/>
      <c r="AIO255" s="11"/>
      <c r="AIP255" s="11"/>
      <c r="AIQ255" s="11"/>
      <c r="AIR255" s="11"/>
      <c r="AIS255" s="11"/>
      <c r="AIT255" s="11"/>
      <c r="AIU255" s="11"/>
      <c r="AIV255" s="11"/>
      <c r="AIW255" s="11"/>
      <c r="AIX255" s="11"/>
      <c r="AIY255" s="11"/>
      <c r="AIZ255" s="11"/>
      <c r="AJA255" s="11"/>
      <c r="AJB255" s="11"/>
      <c r="AJC255" s="11"/>
      <c r="AJD255" s="11"/>
      <c r="AJE255" s="11"/>
      <c r="AJF255" s="11"/>
      <c r="AJG255" s="11"/>
      <c r="AJH255" s="11"/>
      <c r="AJI255" s="11"/>
      <c r="AJJ255" s="11"/>
      <c r="AJK255" s="11"/>
      <c r="AJL255" s="11"/>
      <c r="AJM255" s="11"/>
      <c r="AJN255" s="11"/>
      <c r="AJO255" s="11"/>
      <c r="AJP255" s="11"/>
      <c r="AJQ255" s="11"/>
      <c r="AJR255" s="11"/>
      <c r="AJS255" s="11"/>
      <c r="AJT255" s="11"/>
      <c r="AJU255" s="11"/>
      <c r="AJV255" s="11"/>
      <c r="AJW255" s="11"/>
      <c r="AJX255" s="11"/>
      <c r="AJY255" s="11"/>
      <c r="AJZ255" s="11"/>
      <c r="AKA255" s="11"/>
      <c r="AKB255" s="11"/>
      <c r="AKC255" s="11"/>
      <c r="AKD255" s="11"/>
      <c r="AKE255" s="11"/>
      <c r="AKF255" s="11"/>
      <c r="AKG255" s="11"/>
      <c r="AKH255" s="11"/>
      <c r="AKI255" s="11"/>
      <c r="AKJ255" s="11"/>
      <c r="AKK255" s="11"/>
      <c r="AKL255" s="11"/>
      <c r="AKM255" s="11"/>
      <c r="AKN255" s="11"/>
      <c r="AKO255" s="11"/>
      <c r="AKP255" s="11"/>
      <c r="AKQ255" s="11"/>
      <c r="AKR255" s="11"/>
      <c r="AKS255" s="11"/>
      <c r="AKT255" s="11"/>
      <c r="AKU255" s="11"/>
      <c r="AKV255" s="11"/>
      <c r="AKW255" s="11"/>
      <c r="AKX255" s="11"/>
      <c r="AKY255" s="11"/>
      <c r="AKZ255" s="11"/>
      <c r="ALA255" s="11"/>
      <c r="ALB255" s="11"/>
      <c r="ALC255" s="11"/>
      <c r="ALD255" s="11"/>
      <c r="ALE255" s="11"/>
      <c r="ALF255" s="11"/>
      <c r="ALG255" s="11"/>
      <c r="ALH255" s="11"/>
      <c r="ALI255" s="11"/>
      <c r="ALJ255" s="11"/>
      <c r="ALK255" s="11"/>
      <c r="ALL255" s="11"/>
      <c r="ALM255" s="11"/>
      <c r="ALN255" s="11"/>
      <c r="ALO255" s="11"/>
      <c r="ALP255" s="11"/>
      <c r="ALQ255" s="11"/>
      <c r="ALR255" s="11"/>
      <c r="ALS255" s="11"/>
      <c r="ALT255" s="11"/>
      <c r="ALU255" s="11"/>
      <c r="ALV255" s="11"/>
      <c r="ALW255" s="11"/>
      <c r="ALX255" s="11"/>
      <c r="ALY255" s="11"/>
      <c r="ALZ255" s="11"/>
      <c r="AMA255" s="11"/>
      <c r="AMB255" s="11"/>
      <c r="AMC255" s="11"/>
      <c r="AMD255" s="11"/>
      <c r="AME255" s="11"/>
      <c r="AMF255" s="11"/>
      <c r="AMG255" s="11"/>
      <c r="AMH255" s="11"/>
      <c r="AMI255" s="11"/>
      <c r="AMJ255" s="11"/>
      <c r="AMK255" s="11"/>
      <c r="AML255" s="11"/>
      <c r="AMM255" s="11"/>
      <c r="AMN255" s="11"/>
      <c r="AMO255" s="11"/>
      <c r="AMP255" s="11"/>
      <c r="AMQ255" s="11"/>
      <c r="AMR255" s="11"/>
      <c r="AMS255" s="11"/>
      <c r="AMT255" s="11"/>
      <c r="AMU255" s="11"/>
      <c r="AMV255" s="11"/>
      <c r="AMW255" s="11"/>
      <c r="AMX255" s="11"/>
      <c r="AMY255" s="11"/>
      <c r="AMZ255" s="11"/>
      <c r="ANA255" s="11"/>
      <c r="ANB255" s="11"/>
      <c r="ANC255" s="11"/>
      <c r="AND255" s="11"/>
      <c r="ANE255" s="11"/>
      <c r="ANF255" s="11"/>
      <c r="ANG255" s="11"/>
      <c r="ANH255" s="11"/>
      <c r="ANI255" s="11"/>
      <c r="ANJ255" s="11"/>
      <c r="ANK255" s="11"/>
      <c r="ANL255" s="11"/>
      <c r="ANM255" s="11"/>
      <c r="ANN255" s="11"/>
      <c r="ANO255" s="11"/>
      <c r="ANP255" s="11"/>
      <c r="ANQ255" s="11"/>
      <c r="ANR255" s="11"/>
      <c r="ANS255" s="11"/>
      <c r="ANT255" s="11"/>
      <c r="ANU255" s="11"/>
      <c r="ANV255" s="11"/>
      <c r="ANW255" s="11"/>
      <c r="ANX255" s="11"/>
      <c r="ANY255" s="11"/>
      <c r="ANZ255" s="11"/>
      <c r="AOA255" s="11"/>
      <c r="AOB255" s="11"/>
      <c r="AOC255" s="11"/>
      <c r="AOD255" s="11"/>
      <c r="AOE255" s="11"/>
      <c r="AOF255" s="11"/>
      <c r="AOG255" s="11"/>
      <c r="AOH255" s="11"/>
      <c r="AOI255" s="11"/>
      <c r="AOJ255" s="11"/>
      <c r="AOK255" s="11"/>
      <c r="AOL255" s="11"/>
      <c r="AOM255" s="11"/>
      <c r="AON255" s="11"/>
      <c r="AOO255" s="11"/>
      <c r="AOP255" s="11"/>
      <c r="AOQ255" s="11"/>
      <c r="AOR255" s="11"/>
      <c r="AOS255" s="11"/>
      <c r="AOT255" s="11"/>
      <c r="AOU255" s="11"/>
      <c r="AOV255" s="11"/>
      <c r="AOW255" s="11"/>
      <c r="AOX255" s="11"/>
      <c r="AOY255" s="11"/>
      <c r="AOZ255" s="11"/>
      <c r="APA255" s="11"/>
      <c r="APB255" s="11"/>
      <c r="APC255" s="11"/>
      <c r="APD255" s="11"/>
      <c r="APE255" s="11"/>
      <c r="APF255" s="11"/>
      <c r="APG255" s="11"/>
      <c r="APH255" s="11"/>
      <c r="API255" s="11"/>
      <c r="APJ255" s="11"/>
      <c r="APK255" s="11"/>
      <c r="APL255" s="11"/>
      <c r="APM255" s="11"/>
      <c r="APN255" s="11"/>
      <c r="APO255" s="11"/>
      <c r="APP255" s="11"/>
      <c r="APQ255" s="11"/>
      <c r="APR255" s="11"/>
      <c r="APS255" s="11"/>
      <c r="APT255" s="11"/>
      <c r="APU255" s="11"/>
      <c r="APV255" s="11"/>
      <c r="APW255" s="11"/>
      <c r="APX255" s="11"/>
      <c r="APY255" s="11"/>
      <c r="APZ255" s="11"/>
      <c r="AQA255" s="11"/>
      <c r="AQB255" s="11"/>
      <c r="AQC255" s="11"/>
      <c r="AQD255" s="11"/>
      <c r="AQE255" s="11"/>
      <c r="AQF255" s="11"/>
      <c r="AQG255" s="11"/>
      <c r="AQH255" s="11"/>
      <c r="AQI255" s="11"/>
      <c r="AQJ255" s="11"/>
      <c r="AQK255" s="11"/>
      <c r="AQL255" s="11"/>
      <c r="AQM255" s="11"/>
      <c r="AQN255" s="11"/>
      <c r="AQO255" s="11"/>
      <c r="AQP255" s="11"/>
      <c r="AQQ255" s="11"/>
      <c r="AQR255" s="11"/>
      <c r="AQS255" s="11"/>
      <c r="AQT255" s="11"/>
      <c r="AQU255" s="11"/>
      <c r="AQV255" s="11"/>
      <c r="AQW255" s="11"/>
      <c r="AQX255" s="11"/>
      <c r="AQY255" s="11"/>
      <c r="AQZ255" s="11"/>
      <c r="ARA255" s="11"/>
      <c r="ARB255" s="11"/>
      <c r="ARC255" s="11"/>
      <c r="ARD255" s="11"/>
      <c r="ARE255" s="11"/>
      <c r="ARF255" s="11"/>
      <c r="ARG255" s="11"/>
      <c r="ARH255" s="11"/>
      <c r="ARI255" s="11"/>
      <c r="ARJ255" s="11"/>
      <c r="ARK255" s="11"/>
      <c r="ARL255" s="11"/>
      <c r="ARM255" s="11"/>
      <c r="ARN255" s="11"/>
      <c r="ARO255" s="11"/>
      <c r="ARP255" s="11"/>
      <c r="ARQ255" s="11"/>
      <c r="ARR255" s="11"/>
      <c r="ARS255" s="11"/>
      <c r="ART255" s="11"/>
      <c r="ARU255" s="11"/>
      <c r="ARV255" s="11"/>
      <c r="ARW255" s="11"/>
      <c r="ARX255" s="11"/>
      <c r="ARY255" s="11"/>
      <c r="ARZ255" s="11"/>
      <c r="ASA255" s="11"/>
      <c r="ASB255" s="11"/>
      <c r="ASC255" s="11"/>
      <c r="ASD255" s="11"/>
      <c r="ASE255" s="11"/>
      <c r="ASF255" s="11"/>
      <c r="ASG255" s="11"/>
      <c r="ASH255" s="11"/>
      <c r="ASI255" s="11"/>
      <c r="ASJ255" s="11"/>
      <c r="ASK255" s="11"/>
      <c r="ASL255" s="11"/>
      <c r="ASM255" s="11"/>
      <c r="ASN255" s="11"/>
      <c r="ASO255" s="11"/>
      <c r="ASP255" s="11"/>
      <c r="ASQ255" s="11"/>
      <c r="ASR255" s="11"/>
      <c r="ASS255" s="11"/>
      <c r="AST255" s="11"/>
      <c r="ASU255" s="11"/>
      <c r="ASV255" s="11"/>
      <c r="ASW255" s="11"/>
      <c r="ASX255" s="11"/>
      <c r="ASY255" s="11"/>
      <c r="ASZ255" s="11"/>
      <c r="ATA255" s="11"/>
      <c r="ATB255" s="11"/>
      <c r="ATC255" s="11"/>
      <c r="ATD255" s="11"/>
      <c r="ATE255" s="11"/>
      <c r="ATF255" s="11"/>
      <c r="ATG255" s="11"/>
      <c r="ATH255" s="11"/>
      <c r="ATI255" s="11"/>
      <c r="ATJ255" s="11"/>
      <c r="ATK255" s="11"/>
      <c r="ATL255" s="11"/>
      <c r="ATM255" s="11"/>
      <c r="ATN255" s="11"/>
      <c r="ATO255" s="11"/>
      <c r="ATP255" s="11"/>
      <c r="ATQ255" s="11"/>
      <c r="ATR255" s="11"/>
      <c r="ATS255" s="11"/>
      <c r="ATT255" s="11"/>
      <c r="ATU255" s="11"/>
      <c r="ATV255" s="11"/>
      <c r="ATW255" s="11"/>
      <c r="ATX255" s="11"/>
      <c r="ATY255" s="11"/>
      <c r="ATZ255" s="11"/>
      <c r="AUA255" s="11"/>
      <c r="AUB255" s="11"/>
      <c r="AUC255" s="11"/>
      <c r="AUD255" s="11"/>
      <c r="AUE255" s="11"/>
      <c r="AUF255" s="11"/>
      <c r="AUG255" s="11"/>
      <c r="AUH255" s="11"/>
      <c r="AUI255" s="11"/>
      <c r="AUJ255" s="11"/>
      <c r="AUK255" s="11"/>
      <c r="AUL255" s="11"/>
      <c r="AUM255" s="11"/>
      <c r="AUN255" s="11"/>
      <c r="AUO255" s="11"/>
      <c r="AUP255" s="11"/>
      <c r="AUQ255" s="11"/>
      <c r="AUR255" s="11"/>
      <c r="AUS255" s="11"/>
      <c r="AUT255" s="11"/>
      <c r="AUU255" s="11"/>
      <c r="AUV255" s="11"/>
      <c r="AUW255" s="11"/>
      <c r="AUX255" s="11"/>
      <c r="AUY255" s="11"/>
      <c r="AUZ255" s="11"/>
      <c r="AVA255" s="11"/>
      <c r="AVB255" s="11"/>
      <c r="AVC255" s="11"/>
      <c r="AVD255" s="11"/>
      <c r="AVE255" s="11"/>
      <c r="AVF255" s="11"/>
      <c r="AVG255" s="11"/>
      <c r="AVH255" s="11"/>
      <c r="AVI255" s="11"/>
      <c r="AVJ255" s="11"/>
      <c r="AVK255" s="11"/>
      <c r="AVL255" s="11"/>
      <c r="AVM255" s="11"/>
      <c r="AVN255" s="11"/>
      <c r="AVO255" s="11"/>
      <c r="AVP255" s="11"/>
      <c r="AVQ255" s="11"/>
      <c r="AVR255" s="11"/>
      <c r="AVS255" s="11"/>
      <c r="AVT255" s="11"/>
      <c r="AVU255" s="11"/>
      <c r="AVV255" s="11"/>
      <c r="AVW255" s="11"/>
      <c r="AVX255" s="11"/>
      <c r="AVY255" s="11"/>
      <c r="AVZ255" s="11"/>
      <c r="AWA255" s="11"/>
      <c r="AWB255" s="11"/>
      <c r="AWC255" s="11"/>
      <c r="AWD255" s="11"/>
      <c r="AWE255" s="11"/>
      <c r="AWF255" s="11"/>
      <c r="AWG255" s="11"/>
      <c r="AWH255" s="11"/>
      <c r="AWI255" s="11"/>
      <c r="AWJ255" s="11"/>
      <c r="AWK255" s="11"/>
      <c r="AWL255" s="11"/>
      <c r="AWM255" s="11"/>
      <c r="AWN255" s="11"/>
      <c r="AWO255" s="11"/>
      <c r="AWP255" s="11"/>
      <c r="AWQ255" s="11"/>
      <c r="AWR255" s="11"/>
      <c r="AWS255" s="11"/>
      <c r="AWT255" s="11"/>
      <c r="AWU255" s="11"/>
      <c r="AWV255" s="11"/>
      <c r="AWW255" s="11"/>
      <c r="AWX255" s="11"/>
      <c r="AWY255" s="11"/>
      <c r="AWZ255" s="11"/>
      <c r="AXA255" s="11"/>
      <c r="AXB255" s="11"/>
      <c r="AXC255" s="11"/>
      <c r="AXD255" s="11"/>
      <c r="AXE255" s="11"/>
      <c r="AXF255" s="11"/>
      <c r="AXG255" s="11"/>
      <c r="AXH255" s="11"/>
      <c r="AXI255" s="11"/>
      <c r="AXJ255" s="11"/>
      <c r="AXK255" s="11"/>
      <c r="AXL255" s="11"/>
      <c r="AXM255" s="11"/>
      <c r="AXN255" s="11"/>
      <c r="AXO255" s="11"/>
      <c r="AXP255" s="11"/>
      <c r="AXQ255" s="11"/>
      <c r="AXR255" s="11"/>
      <c r="AXS255" s="11"/>
      <c r="AXT255" s="11"/>
      <c r="AXU255" s="11"/>
      <c r="AXV255" s="11"/>
      <c r="AXW255" s="11"/>
      <c r="AXX255" s="11"/>
      <c r="AXY255" s="11"/>
      <c r="AXZ255" s="11"/>
      <c r="AYA255" s="11"/>
      <c r="AYB255" s="11"/>
      <c r="AYC255" s="11"/>
      <c r="AYD255" s="11"/>
      <c r="AYE255" s="11"/>
      <c r="AYF255" s="11"/>
      <c r="AYG255" s="11"/>
      <c r="AYH255" s="11"/>
      <c r="AYI255" s="11"/>
      <c r="AYJ255" s="11"/>
      <c r="AYK255" s="11"/>
      <c r="AYL255" s="11"/>
      <c r="AYM255" s="11"/>
      <c r="AYN255" s="11"/>
      <c r="AYO255" s="11"/>
      <c r="AYP255" s="11"/>
      <c r="AYQ255" s="11"/>
      <c r="AYR255" s="11"/>
      <c r="AYS255" s="11"/>
      <c r="AYT255" s="11"/>
      <c r="AYU255" s="11"/>
      <c r="AYV255" s="11"/>
      <c r="AYW255" s="11"/>
      <c r="AYX255" s="11"/>
      <c r="AYY255" s="11"/>
      <c r="AYZ255" s="11"/>
      <c r="AZA255" s="11"/>
      <c r="AZB255" s="11"/>
      <c r="AZC255" s="11"/>
      <c r="AZD255" s="11"/>
      <c r="AZE255" s="11"/>
      <c r="AZF255" s="11"/>
      <c r="AZG255" s="11"/>
      <c r="AZH255" s="11"/>
      <c r="AZI255" s="11"/>
      <c r="AZJ255" s="11"/>
      <c r="AZK255" s="11"/>
      <c r="AZL255" s="11"/>
      <c r="AZM255" s="11"/>
      <c r="AZN255" s="11"/>
      <c r="AZO255" s="11"/>
      <c r="AZP255" s="11"/>
      <c r="AZQ255" s="11"/>
      <c r="AZR255" s="11"/>
      <c r="AZS255" s="11"/>
      <c r="AZT255" s="11"/>
      <c r="AZU255" s="11"/>
      <c r="AZV255" s="11"/>
      <c r="AZW255" s="11"/>
      <c r="AZX255" s="11"/>
      <c r="AZY255" s="11"/>
      <c r="AZZ255" s="11"/>
      <c r="BAA255" s="11"/>
      <c r="BAB255" s="11"/>
      <c r="BAC255" s="11"/>
      <c r="BAD255" s="11"/>
      <c r="BAE255" s="11"/>
      <c r="BAF255" s="11"/>
      <c r="BAG255" s="11"/>
      <c r="BAH255" s="11"/>
      <c r="BAI255" s="11"/>
      <c r="BAJ255" s="11"/>
      <c r="BAK255" s="11"/>
      <c r="BAL255" s="11"/>
      <c r="BAM255" s="11"/>
      <c r="BAN255" s="11"/>
      <c r="BAO255" s="11"/>
      <c r="BAP255" s="11"/>
      <c r="BAQ255" s="11"/>
      <c r="BAR255" s="11"/>
      <c r="BAS255" s="11"/>
      <c r="BAT255" s="11"/>
      <c r="BAU255" s="11"/>
      <c r="BAV255" s="11"/>
      <c r="BAW255" s="11"/>
      <c r="BAX255" s="11"/>
      <c r="BAY255" s="11"/>
      <c r="BAZ255" s="11"/>
      <c r="BBA255" s="11"/>
      <c r="BBB255" s="11"/>
      <c r="BBC255" s="11"/>
      <c r="BBD255" s="11"/>
      <c r="BBE255" s="11"/>
      <c r="BBF255" s="11"/>
      <c r="BBG255" s="11"/>
      <c r="BBH255" s="11"/>
      <c r="BBI255" s="11"/>
      <c r="BBJ255" s="11"/>
      <c r="BBK255" s="11"/>
      <c r="BBL255" s="11"/>
      <c r="BBM255" s="11"/>
      <c r="BBN255" s="11"/>
      <c r="BBO255" s="11"/>
      <c r="BBP255" s="11"/>
      <c r="BBQ255" s="11"/>
      <c r="BBR255" s="11"/>
      <c r="BBS255" s="11"/>
      <c r="BBT255" s="11"/>
      <c r="BBU255" s="11"/>
      <c r="BBV255" s="11"/>
      <c r="BBW255" s="11"/>
      <c r="BBX255" s="11"/>
      <c r="BBY255" s="11"/>
      <c r="BBZ255" s="11"/>
      <c r="BCA255" s="11"/>
      <c r="BCB255" s="11"/>
      <c r="BCC255" s="11"/>
      <c r="BCD255" s="11"/>
      <c r="BCE255" s="11"/>
      <c r="BCF255" s="11"/>
      <c r="BCG255" s="11"/>
      <c r="BCH255" s="11"/>
      <c r="BCI255" s="11"/>
      <c r="BCJ255" s="11"/>
      <c r="BCK255" s="11"/>
      <c r="BCL255" s="11"/>
      <c r="BCM255" s="11"/>
      <c r="BCN255" s="11"/>
      <c r="BCO255" s="11"/>
      <c r="BCP255" s="11"/>
      <c r="BCQ255" s="11"/>
      <c r="BCR255" s="11"/>
      <c r="BCS255" s="11"/>
      <c r="BCT255" s="11"/>
      <c r="BCU255" s="11"/>
      <c r="BCV255" s="11"/>
      <c r="BCW255" s="11"/>
      <c r="BCX255" s="11"/>
      <c r="BCY255" s="11"/>
      <c r="BCZ255" s="11"/>
      <c r="BDA255" s="11"/>
      <c r="BDB255" s="11"/>
      <c r="BDC255" s="11"/>
      <c r="BDD255" s="11"/>
      <c r="BDE255" s="11"/>
      <c r="BDF255" s="11"/>
      <c r="BDG255" s="11"/>
      <c r="BDH255" s="11"/>
      <c r="BDI255" s="11"/>
      <c r="BDJ255" s="11"/>
      <c r="BDK255" s="11"/>
      <c r="BDL255" s="11"/>
      <c r="BDM255" s="11"/>
      <c r="BDN255" s="11"/>
      <c r="BDO255" s="11"/>
      <c r="BDP255" s="11"/>
      <c r="BDQ255" s="11"/>
      <c r="BDR255" s="11"/>
      <c r="BDS255" s="11"/>
      <c r="BDT255" s="11"/>
      <c r="BDU255" s="11"/>
      <c r="BDV255" s="11"/>
      <c r="BDW255" s="11"/>
      <c r="BDX255" s="11"/>
      <c r="BDY255" s="11"/>
      <c r="BDZ255" s="11"/>
      <c r="BEA255" s="11"/>
      <c r="BEB255" s="11"/>
      <c r="BEC255" s="11"/>
      <c r="BED255" s="11"/>
      <c r="BEE255" s="11"/>
      <c r="BEF255" s="11"/>
      <c r="BEG255" s="11"/>
      <c r="BEH255" s="11"/>
      <c r="BEI255" s="11"/>
      <c r="BEJ255" s="11"/>
      <c r="BEK255" s="11"/>
      <c r="BEL255" s="11"/>
      <c r="BEM255" s="11"/>
      <c r="BEN255" s="11"/>
      <c r="BEO255" s="11"/>
      <c r="BEP255" s="11"/>
      <c r="BEQ255" s="11"/>
      <c r="BER255" s="11"/>
      <c r="BES255" s="11"/>
      <c r="BET255" s="11"/>
      <c r="BEU255" s="11"/>
      <c r="BEV255" s="11"/>
      <c r="BEW255" s="11"/>
      <c r="BEX255" s="11"/>
      <c r="BEY255" s="11"/>
      <c r="BEZ255" s="11"/>
      <c r="BFA255" s="11"/>
      <c r="BFB255" s="11"/>
      <c r="BFC255" s="11"/>
      <c r="BFD255" s="11"/>
      <c r="BFE255" s="11"/>
      <c r="BFF255" s="11"/>
      <c r="BFG255" s="11"/>
      <c r="BFH255" s="11"/>
      <c r="BFI255" s="11"/>
      <c r="BFJ255" s="11"/>
      <c r="BFK255" s="11"/>
      <c r="BFL255" s="11"/>
      <c r="BFM255" s="11"/>
      <c r="BFN255" s="11"/>
      <c r="BFO255" s="11"/>
      <c r="BFP255" s="11"/>
      <c r="BFQ255" s="11"/>
      <c r="BFR255" s="11"/>
      <c r="BFS255" s="11"/>
      <c r="BFT255" s="11"/>
      <c r="BFU255" s="11"/>
      <c r="BFV255" s="11"/>
      <c r="BFW255" s="11"/>
      <c r="BFX255" s="11"/>
      <c r="BFY255" s="11"/>
      <c r="BFZ255" s="11"/>
      <c r="BGA255" s="11"/>
      <c r="BGB255" s="11"/>
      <c r="BGC255" s="11"/>
      <c r="BGD255" s="11"/>
      <c r="BGE255" s="11"/>
      <c r="BGF255" s="11"/>
      <c r="BGG255" s="11"/>
      <c r="BGH255" s="11"/>
      <c r="BGI255" s="11"/>
      <c r="BGJ255" s="11"/>
      <c r="BGK255" s="11"/>
      <c r="BGL255" s="11"/>
      <c r="BGM255" s="11"/>
      <c r="BGN255" s="11"/>
      <c r="BGO255" s="11"/>
      <c r="BGP255" s="11"/>
      <c r="BGQ255" s="11"/>
      <c r="BGR255" s="11"/>
      <c r="BGS255" s="11"/>
      <c r="BGT255" s="11"/>
      <c r="BGU255" s="11"/>
      <c r="BGV255" s="11"/>
      <c r="BGW255" s="11"/>
      <c r="BGX255" s="11"/>
      <c r="BGY255" s="11"/>
      <c r="BGZ255" s="11"/>
      <c r="BHA255" s="11"/>
      <c r="BHB255" s="11"/>
      <c r="BHC255" s="11"/>
      <c r="BHD255" s="11"/>
      <c r="BHE255" s="11"/>
      <c r="BHF255" s="11"/>
      <c r="BHG255" s="11"/>
      <c r="BHH255" s="11"/>
      <c r="BHI255" s="11"/>
      <c r="BHJ255" s="11"/>
      <c r="BHK255" s="11"/>
      <c r="BHL255" s="11"/>
      <c r="BHM255" s="11"/>
      <c r="BHN255" s="11"/>
      <c r="BHO255" s="11"/>
      <c r="BHP255" s="11"/>
      <c r="BHQ255" s="11"/>
      <c r="BHR255" s="11"/>
      <c r="BHS255" s="11"/>
      <c r="BHT255" s="11"/>
      <c r="BHU255" s="11"/>
      <c r="BHV255" s="11"/>
      <c r="BHW255" s="11"/>
      <c r="BHX255" s="11"/>
      <c r="BHY255" s="11"/>
      <c r="BHZ255" s="11"/>
      <c r="BIA255" s="11"/>
      <c r="BIB255" s="11"/>
      <c r="BIC255" s="11"/>
      <c r="BID255" s="11"/>
      <c r="BIE255" s="11"/>
      <c r="BIF255" s="11"/>
      <c r="BIG255" s="11"/>
      <c r="BIH255" s="11"/>
      <c r="BII255" s="11"/>
      <c r="BIJ255" s="11"/>
      <c r="BIK255" s="11"/>
      <c r="BIL255" s="11"/>
      <c r="BIM255" s="11"/>
      <c r="BIN255" s="11"/>
      <c r="BIO255" s="11"/>
      <c r="BIP255" s="11"/>
      <c r="BIQ255" s="11"/>
      <c r="BIR255" s="11"/>
      <c r="BIS255" s="11"/>
      <c r="BIT255" s="11"/>
      <c r="BIU255" s="11"/>
      <c r="BIV255" s="11"/>
      <c r="BIW255" s="11"/>
      <c r="BIX255" s="11"/>
      <c r="BIY255" s="11"/>
      <c r="BIZ255" s="11"/>
      <c r="BJA255" s="11"/>
      <c r="BJB255" s="11"/>
      <c r="BJC255" s="11"/>
      <c r="BJD255" s="11"/>
      <c r="BJE255" s="11"/>
      <c r="BJF255" s="11"/>
      <c r="BJG255" s="11"/>
      <c r="BJH255" s="11"/>
      <c r="BJI255" s="11"/>
      <c r="BJJ255" s="11"/>
      <c r="BJK255" s="11"/>
      <c r="BJL255" s="11"/>
      <c r="BJM255" s="11"/>
      <c r="BJN255" s="11"/>
      <c r="BJO255" s="11"/>
      <c r="BJP255" s="11"/>
      <c r="BJQ255" s="11"/>
      <c r="BJR255" s="11"/>
      <c r="BJS255" s="11"/>
      <c r="BJT255" s="11"/>
      <c r="BJU255" s="11"/>
      <c r="BJV255" s="11"/>
      <c r="BJW255" s="11"/>
      <c r="BJX255" s="11"/>
      <c r="BJY255" s="11"/>
      <c r="BJZ255" s="11"/>
      <c r="BKA255" s="11"/>
      <c r="BKB255" s="11"/>
      <c r="BKC255" s="11"/>
      <c r="BKD255" s="11"/>
      <c r="BKE255" s="11"/>
      <c r="BKF255" s="11"/>
      <c r="BKG255" s="11"/>
      <c r="BKH255" s="11"/>
      <c r="BKI255" s="11"/>
      <c r="BKJ255" s="11"/>
      <c r="BKK255" s="11"/>
      <c r="BKL255" s="11"/>
      <c r="BKM255" s="11"/>
      <c r="BKN255" s="11"/>
      <c r="BKO255" s="11"/>
      <c r="BKP255" s="11"/>
      <c r="BKQ255" s="11"/>
      <c r="BKR255" s="11"/>
      <c r="BKS255" s="11"/>
      <c r="BKT255" s="11"/>
      <c r="BKU255" s="11"/>
      <c r="BKV255" s="11"/>
      <c r="BKW255" s="11"/>
      <c r="BKX255" s="11"/>
      <c r="BKY255" s="11"/>
      <c r="BKZ255" s="11"/>
      <c r="BLA255" s="11"/>
      <c r="BLB255" s="11"/>
      <c r="BLC255" s="11"/>
      <c r="BLD255" s="11"/>
      <c r="BLE255" s="11"/>
      <c r="BLF255" s="11"/>
      <c r="BLG255" s="11"/>
      <c r="BLH255" s="11"/>
      <c r="BLI255" s="11"/>
      <c r="BLJ255" s="11"/>
      <c r="BLK255" s="11"/>
      <c r="BLL255" s="11"/>
      <c r="BLM255" s="11"/>
      <c r="BLN255" s="11"/>
      <c r="BLO255" s="11"/>
      <c r="BLP255" s="11"/>
      <c r="BLQ255" s="11"/>
      <c r="BLR255" s="11"/>
      <c r="BLS255" s="11"/>
      <c r="BLT255" s="11"/>
      <c r="BLU255" s="11"/>
      <c r="BLV255" s="11"/>
      <c r="BLW255" s="11"/>
      <c r="BLX255" s="11"/>
      <c r="BLY255" s="11"/>
      <c r="BLZ255" s="11"/>
      <c r="BMA255" s="11"/>
      <c r="BMB255" s="11"/>
      <c r="BMC255" s="11"/>
      <c r="BMD255" s="11"/>
      <c r="BME255" s="11"/>
      <c r="BMF255" s="11"/>
      <c r="BMG255" s="11"/>
      <c r="BMH255" s="11"/>
      <c r="BMI255" s="11"/>
      <c r="BMJ255" s="11"/>
      <c r="BMK255" s="11"/>
      <c r="BML255" s="11"/>
      <c r="BMM255" s="11"/>
      <c r="BMN255" s="11"/>
      <c r="BMO255" s="11"/>
      <c r="BMP255" s="11"/>
      <c r="BMQ255" s="11"/>
      <c r="BMR255" s="11"/>
      <c r="BMS255" s="11"/>
      <c r="BMT255" s="11"/>
      <c r="BMU255" s="11"/>
      <c r="BMV255" s="11"/>
      <c r="BMW255" s="11"/>
      <c r="BMX255" s="11"/>
      <c r="BMY255" s="11"/>
      <c r="BMZ255" s="11"/>
      <c r="BNA255" s="11"/>
      <c r="BNB255" s="11"/>
      <c r="BNC255" s="11"/>
      <c r="BND255" s="11"/>
      <c r="BNE255" s="11"/>
      <c r="BNF255" s="11"/>
      <c r="BNG255" s="11"/>
      <c r="BNH255" s="11"/>
      <c r="BNI255" s="11"/>
      <c r="BNJ255" s="11"/>
      <c r="BNK255" s="11"/>
      <c r="BNL255" s="11"/>
      <c r="BNM255" s="11"/>
      <c r="BNN255" s="11"/>
      <c r="BNO255" s="11"/>
      <c r="BNP255" s="11"/>
      <c r="BNQ255" s="11"/>
      <c r="BNR255" s="11"/>
      <c r="BNS255" s="11"/>
      <c r="BNT255" s="11"/>
      <c r="BNU255" s="11"/>
      <c r="BNV255" s="11"/>
      <c r="BNW255" s="11"/>
      <c r="BNX255" s="11"/>
      <c r="BNY255" s="11"/>
      <c r="BNZ255" s="11"/>
      <c r="BOA255" s="11"/>
      <c r="BOB255" s="11"/>
      <c r="BOC255" s="11"/>
      <c r="BOD255" s="11"/>
      <c r="BOE255" s="11"/>
      <c r="BOF255" s="11"/>
      <c r="BOG255" s="11"/>
      <c r="BOH255" s="11"/>
      <c r="BOI255" s="11"/>
      <c r="BOJ255" s="11"/>
      <c r="BOK255" s="11"/>
      <c r="BOL255" s="11"/>
      <c r="BOM255" s="11"/>
      <c r="BON255" s="11"/>
      <c r="BOO255" s="11"/>
      <c r="BOP255" s="11"/>
      <c r="BOQ255" s="11"/>
      <c r="BOR255" s="11"/>
      <c r="BOS255" s="11"/>
      <c r="BOT255" s="11"/>
      <c r="BOU255" s="11"/>
      <c r="BOV255" s="11"/>
      <c r="BOW255" s="11"/>
      <c r="BOX255" s="11"/>
      <c r="BOY255" s="11"/>
      <c r="BOZ255" s="11"/>
      <c r="BPA255" s="11"/>
      <c r="BPB255" s="11"/>
      <c r="BPC255" s="11"/>
      <c r="BPD255" s="11"/>
      <c r="BPE255" s="11"/>
      <c r="BPF255" s="11"/>
      <c r="BPG255" s="11"/>
      <c r="BPH255" s="11"/>
      <c r="BPI255" s="11"/>
      <c r="BPJ255" s="11"/>
      <c r="BPK255" s="11"/>
      <c r="BPL255" s="11"/>
      <c r="BPM255" s="11"/>
      <c r="BPN255" s="11"/>
      <c r="BPO255" s="11"/>
      <c r="BPP255" s="11"/>
      <c r="BPQ255" s="11"/>
      <c r="BPR255" s="11"/>
      <c r="BPS255" s="11"/>
      <c r="BPT255" s="11"/>
      <c r="BPU255" s="11"/>
      <c r="BPV255" s="11"/>
      <c r="BPW255" s="11"/>
      <c r="BPX255" s="11"/>
      <c r="BPY255" s="11"/>
      <c r="BPZ255" s="11"/>
      <c r="BQA255" s="11"/>
      <c r="BQB255" s="11"/>
      <c r="BQC255" s="11"/>
      <c r="BQD255" s="11"/>
      <c r="BQE255" s="11"/>
      <c r="BQF255" s="11"/>
      <c r="BQG255" s="11"/>
      <c r="BQH255" s="11"/>
      <c r="BQI255" s="11"/>
      <c r="BQJ255" s="11"/>
      <c r="BQK255" s="11"/>
      <c r="BQL255" s="11"/>
      <c r="BQM255" s="11"/>
      <c r="BQN255" s="11"/>
      <c r="BQO255" s="11"/>
      <c r="BQP255" s="11"/>
      <c r="BQQ255" s="11"/>
      <c r="BQR255" s="11"/>
      <c r="BQS255" s="11"/>
      <c r="BQT255" s="11"/>
      <c r="BQU255" s="11"/>
      <c r="BQV255" s="11"/>
      <c r="BQW255" s="11"/>
      <c r="BQX255" s="11"/>
      <c r="BQY255" s="11"/>
      <c r="BQZ255" s="11"/>
      <c r="BRA255" s="11"/>
      <c r="BRB255" s="11"/>
      <c r="BRC255" s="11"/>
      <c r="BRD255" s="11"/>
      <c r="BRE255" s="11"/>
      <c r="BRF255" s="11"/>
      <c r="BRG255" s="11"/>
      <c r="BRH255" s="11"/>
      <c r="BRI255" s="11"/>
      <c r="BRJ255" s="11"/>
      <c r="BRK255" s="11"/>
      <c r="BRL255" s="11"/>
      <c r="BRM255" s="11"/>
      <c r="BRN255" s="11"/>
      <c r="BRO255" s="11"/>
      <c r="BRP255" s="11"/>
      <c r="BRQ255" s="11"/>
      <c r="BRR255" s="11"/>
      <c r="BRS255" s="11"/>
      <c r="BRT255" s="11"/>
      <c r="BRU255" s="11"/>
      <c r="BRV255" s="11"/>
      <c r="BRW255" s="11"/>
      <c r="BRX255" s="11"/>
      <c r="BRY255" s="11"/>
      <c r="BRZ255" s="11"/>
      <c r="BSA255" s="11"/>
      <c r="BSB255" s="11"/>
      <c r="BSC255" s="11"/>
      <c r="BSD255" s="11"/>
      <c r="BSE255" s="11"/>
      <c r="BSF255" s="11"/>
      <c r="BSG255" s="11"/>
      <c r="BSH255" s="11"/>
      <c r="BSI255" s="11"/>
      <c r="BSJ255" s="11"/>
      <c r="BSK255" s="11"/>
      <c r="BSL255" s="11"/>
      <c r="BSM255" s="11"/>
      <c r="BSN255" s="11"/>
      <c r="BSO255" s="11"/>
      <c r="BSP255" s="11"/>
      <c r="BSQ255" s="11"/>
      <c r="BSR255" s="11"/>
      <c r="BSS255" s="11"/>
      <c r="BST255" s="11"/>
      <c r="BSU255" s="11"/>
      <c r="BSV255" s="11"/>
      <c r="BSW255" s="11"/>
      <c r="BSX255" s="11"/>
      <c r="BSY255" s="11"/>
      <c r="BSZ255" s="11"/>
      <c r="BTA255" s="11"/>
      <c r="BTB255" s="11"/>
      <c r="BTC255" s="11"/>
      <c r="BTD255" s="11"/>
      <c r="BTE255" s="11"/>
      <c r="BTF255" s="11"/>
      <c r="BTG255" s="11"/>
      <c r="BTH255" s="11"/>
      <c r="BTI255" s="11"/>
      <c r="BTJ255" s="11"/>
      <c r="BTK255" s="11"/>
      <c r="BTL255" s="11"/>
      <c r="BTM255" s="11"/>
      <c r="BTN255" s="11"/>
      <c r="BTO255" s="11"/>
      <c r="BTP255" s="11"/>
      <c r="BTQ255" s="11"/>
      <c r="BTR255" s="11"/>
      <c r="BTS255" s="11"/>
      <c r="BTT255" s="11"/>
      <c r="BTU255" s="11"/>
      <c r="BTV255" s="11"/>
      <c r="BTW255" s="11"/>
      <c r="BTX255" s="11"/>
      <c r="BTY255" s="11"/>
      <c r="BTZ255" s="11"/>
      <c r="BUA255" s="11"/>
      <c r="BUB255" s="11"/>
      <c r="BUC255" s="11"/>
      <c r="BUD255" s="11"/>
      <c r="BUE255" s="11"/>
      <c r="BUF255" s="11"/>
      <c r="BUG255" s="11"/>
      <c r="BUH255" s="11"/>
      <c r="BUI255" s="11"/>
      <c r="BUJ255" s="11"/>
      <c r="BUK255" s="11"/>
      <c r="BUL255" s="11"/>
      <c r="BUM255" s="11"/>
      <c r="BUN255" s="11"/>
      <c r="BUO255" s="11"/>
      <c r="BUP255" s="11"/>
      <c r="BUQ255" s="11"/>
      <c r="BUR255" s="11"/>
      <c r="BUS255" s="11"/>
      <c r="BUT255" s="11"/>
      <c r="BUU255" s="11"/>
      <c r="BUV255" s="11"/>
      <c r="BUW255" s="11"/>
      <c r="BUX255" s="11"/>
      <c r="BUY255" s="11"/>
      <c r="BUZ255" s="11"/>
      <c r="BVA255" s="11"/>
      <c r="BVB255" s="11"/>
      <c r="BVC255" s="11"/>
      <c r="BVD255" s="11"/>
      <c r="BVE255" s="11"/>
      <c r="BVF255" s="11"/>
      <c r="BVG255" s="11"/>
      <c r="BVH255" s="11"/>
      <c r="BVI255" s="11"/>
      <c r="BVJ255" s="11"/>
      <c r="BVK255" s="11"/>
      <c r="BVL255" s="11"/>
      <c r="BVM255" s="11"/>
      <c r="BVN255" s="11"/>
      <c r="BVO255" s="11"/>
      <c r="BVP255" s="11"/>
      <c r="BVQ255" s="11"/>
      <c r="BVR255" s="11"/>
      <c r="BVS255" s="11"/>
      <c r="BVT255" s="11"/>
      <c r="BVU255" s="11"/>
      <c r="BVV255" s="11"/>
      <c r="BVW255" s="11"/>
      <c r="BVX255" s="11"/>
      <c r="BVY255" s="11"/>
      <c r="BVZ255" s="11"/>
      <c r="BWA255" s="11"/>
      <c r="BWB255" s="11"/>
      <c r="BWC255" s="11"/>
      <c r="BWD255" s="11"/>
      <c r="BWE255" s="11"/>
      <c r="BWF255" s="11"/>
      <c r="BWG255" s="11"/>
      <c r="BWH255" s="11"/>
      <c r="BWI255" s="11"/>
      <c r="BWJ255" s="11"/>
      <c r="BWK255" s="11"/>
      <c r="BWL255" s="11"/>
      <c r="BWM255" s="11"/>
      <c r="BWN255" s="11"/>
      <c r="BWO255" s="11"/>
      <c r="BWP255" s="11"/>
      <c r="BWQ255" s="11"/>
      <c r="BWR255" s="11"/>
      <c r="BWS255" s="11"/>
      <c r="BWT255" s="11"/>
      <c r="BWU255" s="11"/>
      <c r="BWV255" s="11"/>
      <c r="BWW255" s="11"/>
      <c r="BWX255" s="11"/>
      <c r="BWY255" s="11"/>
      <c r="BWZ255" s="11"/>
      <c r="BXA255" s="11"/>
      <c r="BXB255" s="11"/>
      <c r="BXC255" s="11"/>
      <c r="BXD255" s="11"/>
      <c r="BXE255" s="11"/>
      <c r="BXF255" s="11"/>
      <c r="BXG255" s="11"/>
      <c r="BXH255" s="11"/>
      <c r="BXI255" s="11"/>
      <c r="BXJ255" s="11"/>
      <c r="BXK255" s="11"/>
      <c r="BXL255" s="11"/>
      <c r="BXM255" s="11"/>
      <c r="BXN255" s="11"/>
      <c r="BXO255" s="11"/>
      <c r="BXP255" s="11"/>
      <c r="BXQ255" s="11"/>
      <c r="BXR255" s="11"/>
      <c r="BXS255" s="11"/>
      <c r="BXT255" s="11"/>
      <c r="BXU255" s="11"/>
      <c r="BXV255" s="11"/>
      <c r="BXW255" s="11"/>
      <c r="BXX255" s="11"/>
      <c r="BXY255" s="11"/>
      <c r="BXZ255" s="11"/>
      <c r="BYA255" s="11"/>
      <c r="BYB255" s="11"/>
      <c r="BYC255" s="11"/>
      <c r="BYD255" s="11"/>
      <c r="BYE255" s="11"/>
      <c r="BYF255" s="11"/>
      <c r="BYG255" s="11"/>
      <c r="BYH255" s="11"/>
      <c r="BYI255" s="11"/>
      <c r="BYJ255" s="11"/>
      <c r="BYK255" s="11"/>
      <c r="BYL255" s="11"/>
      <c r="BYM255" s="11"/>
      <c r="BYN255" s="11"/>
      <c r="BYO255" s="11"/>
      <c r="BYP255" s="11"/>
      <c r="BYQ255" s="11"/>
      <c r="BYR255" s="11"/>
      <c r="BYS255" s="11"/>
      <c r="BYT255" s="11"/>
      <c r="BYU255" s="11"/>
      <c r="BYV255" s="11"/>
      <c r="BYW255" s="11"/>
      <c r="BYX255" s="11"/>
      <c r="BYY255" s="11"/>
      <c r="BYZ255" s="11"/>
      <c r="BZA255" s="11"/>
      <c r="BZB255" s="11"/>
      <c r="BZC255" s="11"/>
      <c r="BZD255" s="11"/>
      <c r="BZE255" s="11"/>
      <c r="BZF255" s="11"/>
      <c r="BZG255" s="11"/>
      <c r="BZH255" s="11"/>
      <c r="BZI255" s="11"/>
      <c r="BZJ255" s="11"/>
      <c r="BZK255" s="11"/>
      <c r="BZL255" s="11"/>
      <c r="BZM255" s="11"/>
      <c r="BZN255" s="11"/>
      <c r="BZO255" s="11"/>
      <c r="BZP255" s="11"/>
      <c r="BZQ255" s="11"/>
      <c r="BZR255" s="11"/>
      <c r="BZS255" s="11"/>
      <c r="BZT255" s="11"/>
      <c r="BZU255" s="11"/>
      <c r="BZV255" s="11"/>
      <c r="BZW255" s="11"/>
      <c r="BZX255" s="11"/>
      <c r="BZY255" s="11"/>
      <c r="BZZ255" s="11"/>
      <c r="CAA255" s="11"/>
      <c r="CAB255" s="11"/>
      <c r="CAC255" s="11"/>
      <c r="CAD255" s="11"/>
      <c r="CAE255" s="11"/>
      <c r="CAF255" s="11"/>
      <c r="CAG255" s="11"/>
      <c r="CAH255" s="11"/>
      <c r="CAI255" s="11"/>
      <c r="CAJ255" s="11"/>
      <c r="CAK255" s="11"/>
      <c r="CAL255" s="11"/>
      <c r="CAM255" s="11"/>
      <c r="CAN255" s="11"/>
      <c r="CAO255" s="11"/>
      <c r="CAP255" s="11"/>
      <c r="CAQ255" s="11"/>
      <c r="CAR255" s="11"/>
      <c r="CAS255" s="11"/>
      <c r="CAT255" s="11"/>
      <c r="CAU255" s="11"/>
      <c r="CAV255" s="11"/>
      <c r="CAW255" s="11"/>
      <c r="CAX255" s="11"/>
      <c r="CAY255" s="11"/>
      <c r="CAZ255" s="11"/>
      <c r="CBA255" s="11"/>
      <c r="CBB255" s="11"/>
      <c r="CBC255" s="11"/>
      <c r="CBD255" s="11"/>
      <c r="CBE255" s="11"/>
      <c r="CBF255" s="11"/>
      <c r="CBG255" s="11"/>
      <c r="CBH255" s="11"/>
      <c r="CBI255" s="11"/>
      <c r="CBJ255" s="11"/>
      <c r="CBK255" s="11"/>
      <c r="CBL255" s="11"/>
      <c r="CBM255" s="11"/>
      <c r="CBN255" s="11"/>
      <c r="CBO255" s="11"/>
      <c r="CBP255" s="11"/>
      <c r="CBQ255" s="11"/>
      <c r="CBR255" s="11"/>
      <c r="CBS255" s="11"/>
      <c r="CBT255" s="11"/>
      <c r="CBU255" s="11"/>
      <c r="CBV255" s="11"/>
      <c r="CBW255" s="11"/>
      <c r="CBX255" s="11"/>
      <c r="CBY255" s="11"/>
      <c r="CBZ255" s="11"/>
      <c r="CCA255" s="11"/>
      <c r="CCB255" s="11"/>
      <c r="CCC255" s="11"/>
      <c r="CCD255" s="11"/>
      <c r="CCE255" s="11"/>
      <c r="CCF255" s="11"/>
      <c r="CCG255" s="11"/>
      <c r="CCH255" s="11"/>
      <c r="CCI255" s="11"/>
      <c r="CCJ255" s="11"/>
      <c r="CCK255" s="11"/>
      <c r="CCL255" s="11"/>
      <c r="CCM255" s="11"/>
      <c r="CCN255" s="11"/>
      <c r="CCO255" s="11"/>
      <c r="CCP255" s="11"/>
      <c r="CCQ255" s="11"/>
      <c r="CCR255" s="11"/>
      <c r="CCS255" s="11"/>
      <c r="CCT255" s="11"/>
      <c r="CCU255" s="11"/>
      <c r="CCV255" s="11"/>
      <c r="CCW255" s="11"/>
      <c r="CCX255" s="11"/>
      <c r="CCY255" s="11"/>
      <c r="CCZ255" s="11"/>
      <c r="CDA255" s="11"/>
      <c r="CDB255" s="11"/>
      <c r="CDC255" s="11"/>
      <c r="CDD255" s="11"/>
      <c r="CDE255" s="11"/>
      <c r="CDF255" s="11"/>
      <c r="CDG255" s="11"/>
      <c r="CDH255" s="11"/>
      <c r="CDI255" s="11"/>
      <c r="CDJ255" s="11"/>
      <c r="CDK255" s="11"/>
      <c r="CDL255" s="11"/>
      <c r="CDM255" s="11"/>
      <c r="CDN255" s="11"/>
      <c r="CDO255" s="11"/>
      <c r="CDP255" s="11"/>
      <c r="CDQ255" s="11"/>
      <c r="CDR255" s="11"/>
      <c r="CDS255" s="11"/>
      <c r="CDT255" s="11"/>
      <c r="CDU255" s="11"/>
      <c r="CDV255" s="11"/>
      <c r="CDW255" s="11"/>
      <c r="CDX255" s="11"/>
      <c r="CDY255" s="11"/>
      <c r="CDZ255" s="11"/>
      <c r="CEA255" s="11"/>
      <c r="CEB255" s="11"/>
      <c r="CEC255" s="11"/>
      <c r="CED255" s="11"/>
      <c r="CEE255" s="11"/>
      <c r="CEF255" s="11"/>
      <c r="CEG255" s="11"/>
      <c r="CEH255" s="11"/>
      <c r="CEI255" s="11"/>
      <c r="CEJ255" s="11"/>
      <c r="CEK255" s="11"/>
      <c r="CEL255" s="11"/>
      <c r="CEM255" s="11"/>
      <c r="CEN255" s="11"/>
      <c r="CEO255" s="11"/>
      <c r="CEP255" s="11"/>
      <c r="CEQ255" s="11"/>
      <c r="CER255" s="11"/>
      <c r="CES255" s="11"/>
      <c r="CET255" s="11"/>
      <c r="CEU255" s="11"/>
      <c r="CEV255" s="11"/>
      <c r="CEW255" s="11"/>
      <c r="CEX255" s="11"/>
      <c r="CEY255" s="11"/>
      <c r="CEZ255" s="11"/>
      <c r="CFA255" s="11"/>
      <c r="CFB255" s="11"/>
      <c r="CFC255" s="11"/>
      <c r="CFD255" s="11"/>
      <c r="CFE255" s="11"/>
      <c r="CFF255" s="11"/>
      <c r="CFG255" s="11"/>
      <c r="CFH255" s="11"/>
      <c r="CFI255" s="11"/>
      <c r="CFJ255" s="11"/>
      <c r="CFK255" s="11"/>
      <c r="CFL255" s="11"/>
      <c r="CFM255" s="11"/>
      <c r="CFN255" s="11"/>
      <c r="CFO255" s="11"/>
      <c r="CFP255" s="11"/>
      <c r="CFQ255" s="11"/>
      <c r="CFR255" s="11"/>
      <c r="CFS255" s="11"/>
      <c r="CFT255" s="11"/>
      <c r="CFU255" s="11"/>
      <c r="CFV255" s="11"/>
      <c r="CFW255" s="11"/>
      <c r="CFX255" s="11"/>
      <c r="CFY255" s="11"/>
      <c r="CFZ255" s="11"/>
      <c r="CGA255" s="11"/>
      <c r="CGB255" s="11"/>
      <c r="CGC255" s="11"/>
      <c r="CGD255" s="11"/>
      <c r="CGE255" s="11"/>
      <c r="CGF255" s="11"/>
      <c r="CGG255" s="11"/>
      <c r="CGH255" s="11"/>
      <c r="CGI255" s="11"/>
      <c r="CGJ255" s="11"/>
      <c r="CGK255" s="11"/>
      <c r="CGL255" s="11"/>
      <c r="CGM255" s="11"/>
      <c r="CGN255" s="11"/>
      <c r="CGO255" s="11"/>
      <c r="CGP255" s="11"/>
      <c r="CGQ255" s="11"/>
      <c r="CGR255" s="11"/>
      <c r="CGS255" s="11"/>
      <c r="CGT255" s="11"/>
      <c r="CGU255" s="11"/>
      <c r="CGV255" s="11"/>
      <c r="CGW255" s="11"/>
      <c r="CGX255" s="11"/>
      <c r="CGY255" s="11"/>
      <c r="CGZ255" s="11"/>
      <c r="CHA255" s="11"/>
      <c r="CHB255" s="11"/>
      <c r="CHC255" s="11"/>
      <c r="CHD255" s="11"/>
      <c r="CHE255" s="11"/>
      <c r="CHF255" s="11"/>
      <c r="CHG255" s="11"/>
      <c r="CHH255" s="11"/>
      <c r="CHI255" s="11"/>
      <c r="CHJ255" s="11"/>
      <c r="CHK255" s="11"/>
      <c r="CHL255" s="11"/>
      <c r="CHM255" s="11"/>
      <c r="CHN255" s="11"/>
      <c r="CHO255" s="11"/>
      <c r="CHP255" s="11"/>
      <c r="CHQ255" s="11"/>
      <c r="CHR255" s="11"/>
      <c r="CHS255" s="11"/>
      <c r="CHT255" s="11"/>
      <c r="CHU255" s="11"/>
      <c r="CHV255" s="11"/>
      <c r="CHW255" s="11"/>
      <c r="CHX255" s="11"/>
      <c r="CHY255" s="11"/>
      <c r="CHZ255" s="11"/>
      <c r="CIA255" s="11"/>
      <c r="CIB255" s="11"/>
      <c r="CIC255" s="11"/>
      <c r="CID255" s="11"/>
      <c r="CIE255" s="11"/>
      <c r="CIF255" s="11"/>
      <c r="CIG255" s="11"/>
      <c r="CIH255" s="11"/>
      <c r="CII255" s="11"/>
      <c r="CIJ255" s="11"/>
      <c r="CIK255" s="11"/>
      <c r="CIL255" s="11"/>
      <c r="CIM255" s="11"/>
      <c r="CIN255" s="11"/>
      <c r="CIO255" s="11"/>
      <c r="CIP255" s="11"/>
      <c r="CIQ255" s="11"/>
      <c r="CIR255" s="11"/>
      <c r="CIS255" s="11"/>
      <c r="CIT255" s="11"/>
      <c r="CIU255" s="11"/>
      <c r="CIV255" s="11"/>
      <c r="CIW255" s="11"/>
      <c r="CIX255" s="11"/>
      <c r="CIY255" s="11"/>
      <c r="CIZ255" s="11"/>
      <c r="CJA255" s="11"/>
      <c r="CJB255" s="11"/>
      <c r="CJC255" s="11"/>
      <c r="CJD255" s="11"/>
      <c r="CJE255" s="11"/>
      <c r="CJF255" s="11"/>
      <c r="CJG255" s="11"/>
      <c r="CJH255" s="11"/>
      <c r="CJI255" s="11"/>
      <c r="CJJ255" s="11"/>
      <c r="CJK255" s="11"/>
      <c r="CJL255" s="11"/>
      <c r="CJM255" s="11"/>
      <c r="CJN255" s="11"/>
      <c r="CJO255" s="11"/>
      <c r="CJP255" s="11"/>
      <c r="CJQ255" s="11"/>
      <c r="CJR255" s="11"/>
      <c r="CJS255" s="11"/>
      <c r="CJT255" s="11"/>
      <c r="CJU255" s="11"/>
      <c r="CJV255" s="11"/>
      <c r="CJW255" s="11"/>
      <c r="CJX255" s="11"/>
      <c r="CJY255" s="11"/>
      <c r="CJZ255" s="11"/>
      <c r="CKA255" s="11"/>
      <c r="CKB255" s="11"/>
      <c r="CKC255" s="11"/>
      <c r="CKD255" s="11"/>
      <c r="CKE255" s="11"/>
      <c r="CKF255" s="11"/>
      <c r="CKG255" s="11"/>
      <c r="CKH255" s="11"/>
      <c r="CKI255" s="11"/>
      <c r="CKJ255" s="11"/>
      <c r="CKK255" s="11"/>
      <c r="CKL255" s="11"/>
      <c r="CKM255" s="11"/>
      <c r="CKN255" s="11"/>
      <c r="CKO255" s="11"/>
      <c r="CKP255" s="11"/>
      <c r="CKQ255" s="11"/>
      <c r="CKR255" s="11"/>
      <c r="CKS255" s="11"/>
      <c r="CKT255" s="11"/>
      <c r="CKU255" s="11"/>
      <c r="CKV255" s="11"/>
      <c r="CKW255" s="11"/>
      <c r="CKX255" s="11"/>
      <c r="CKY255" s="11"/>
      <c r="CKZ255" s="11"/>
      <c r="CLA255" s="11"/>
      <c r="CLB255" s="11"/>
      <c r="CLC255" s="11"/>
      <c r="CLD255" s="11"/>
      <c r="CLE255" s="11"/>
      <c r="CLF255" s="11"/>
      <c r="CLG255" s="11"/>
      <c r="CLH255" s="11"/>
      <c r="CLI255" s="11"/>
      <c r="CLJ255" s="11"/>
      <c r="CLK255" s="11"/>
      <c r="CLL255" s="11"/>
      <c r="CLM255" s="11"/>
      <c r="CLN255" s="11"/>
      <c r="CLO255" s="11"/>
      <c r="CLP255" s="11"/>
      <c r="CLQ255" s="11"/>
      <c r="CLR255" s="11"/>
      <c r="CLS255" s="11"/>
      <c r="CLT255" s="11"/>
      <c r="CLU255" s="11"/>
      <c r="CLV255" s="11"/>
      <c r="CLW255" s="11"/>
      <c r="CLX255" s="11"/>
      <c r="CLY255" s="11"/>
      <c r="CLZ255" s="11"/>
      <c r="CMA255" s="11"/>
      <c r="CMB255" s="11"/>
      <c r="CMC255" s="11"/>
      <c r="CMD255" s="11"/>
      <c r="CME255" s="11"/>
      <c r="CMF255" s="11"/>
      <c r="CMG255" s="11"/>
      <c r="CMH255" s="11"/>
      <c r="CMI255" s="11"/>
      <c r="CMJ255" s="11"/>
      <c r="CMK255" s="11"/>
      <c r="CML255" s="11"/>
      <c r="CMM255" s="11"/>
      <c r="CMN255" s="11"/>
      <c r="CMO255" s="11"/>
      <c r="CMP255" s="11"/>
      <c r="CMQ255" s="11"/>
      <c r="CMR255" s="11"/>
      <c r="CMS255" s="11"/>
      <c r="CMT255" s="11"/>
      <c r="CMU255" s="11"/>
      <c r="CMV255" s="11"/>
      <c r="CMW255" s="11"/>
      <c r="CMX255" s="11"/>
      <c r="CMY255" s="11"/>
      <c r="CMZ255" s="11"/>
      <c r="CNA255" s="11"/>
      <c r="CNB255" s="11"/>
      <c r="CNC255" s="11"/>
      <c r="CND255" s="11"/>
      <c r="CNE255" s="11"/>
      <c r="CNF255" s="11"/>
      <c r="CNG255" s="11"/>
      <c r="CNH255" s="11"/>
      <c r="CNI255" s="11"/>
      <c r="CNJ255" s="11"/>
      <c r="CNK255" s="11"/>
      <c r="CNL255" s="11"/>
      <c r="CNM255" s="11"/>
      <c r="CNN255" s="11"/>
      <c r="CNO255" s="11"/>
      <c r="CNP255" s="11"/>
      <c r="CNQ255" s="11"/>
      <c r="CNR255" s="11"/>
      <c r="CNS255" s="11"/>
      <c r="CNT255" s="11"/>
      <c r="CNU255" s="11"/>
      <c r="CNV255" s="11"/>
      <c r="CNW255" s="11"/>
      <c r="CNX255" s="11"/>
      <c r="CNY255" s="11"/>
      <c r="CNZ255" s="11"/>
      <c r="COA255" s="11"/>
      <c r="COB255" s="11"/>
      <c r="COC255" s="11"/>
      <c r="COD255" s="11"/>
      <c r="COE255" s="11"/>
      <c r="COF255" s="11"/>
      <c r="COG255" s="11"/>
      <c r="COH255" s="11"/>
      <c r="COI255" s="11"/>
      <c r="COJ255" s="11"/>
      <c r="COK255" s="11"/>
      <c r="COL255" s="11"/>
      <c r="COM255" s="11"/>
      <c r="CON255" s="11"/>
      <c r="COO255" s="11"/>
      <c r="COP255" s="11"/>
      <c r="COQ255" s="11"/>
      <c r="COR255" s="11"/>
      <c r="COS255" s="11"/>
      <c r="COT255" s="11"/>
      <c r="COU255" s="11"/>
      <c r="COV255" s="11"/>
      <c r="COW255" s="11"/>
      <c r="COX255" s="11"/>
      <c r="COY255" s="11"/>
      <c r="COZ255" s="11"/>
      <c r="CPA255" s="11"/>
      <c r="CPB255" s="11"/>
      <c r="CPC255" s="11"/>
      <c r="CPD255" s="11"/>
      <c r="CPE255" s="11"/>
      <c r="CPF255" s="11"/>
      <c r="CPG255" s="11"/>
      <c r="CPH255" s="11"/>
      <c r="CPI255" s="11"/>
      <c r="CPJ255" s="11"/>
      <c r="CPK255" s="11"/>
      <c r="CPL255" s="11"/>
      <c r="CPM255" s="11"/>
      <c r="CPN255" s="11"/>
      <c r="CPO255" s="11"/>
      <c r="CPP255" s="11"/>
      <c r="CPQ255" s="11"/>
      <c r="CPR255" s="11"/>
      <c r="CPS255" s="11"/>
      <c r="CPT255" s="11"/>
      <c r="CPU255" s="11"/>
      <c r="CPV255" s="11"/>
      <c r="CPW255" s="11"/>
      <c r="CPX255" s="11"/>
      <c r="CPY255" s="11"/>
      <c r="CPZ255" s="11"/>
      <c r="CQA255" s="11"/>
      <c r="CQB255" s="11"/>
      <c r="CQC255" s="11"/>
      <c r="CQD255" s="11"/>
      <c r="CQE255" s="11"/>
      <c r="CQF255" s="11"/>
      <c r="CQG255" s="11"/>
      <c r="CQH255" s="11"/>
      <c r="CQI255" s="11"/>
      <c r="CQJ255" s="11"/>
      <c r="CQK255" s="11"/>
      <c r="CQL255" s="11"/>
      <c r="CQM255" s="11"/>
      <c r="CQN255" s="11"/>
      <c r="CQO255" s="11"/>
      <c r="CQP255" s="11"/>
      <c r="CQQ255" s="11"/>
      <c r="CQR255" s="11"/>
      <c r="CQS255" s="11"/>
      <c r="CQT255" s="11"/>
      <c r="CQU255" s="11"/>
      <c r="CQV255" s="11"/>
      <c r="CQW255" s="11"/>
      <c r="CQX255" s="11"/>
      <c r="CQY255" s="11"/>
      <c r="CQZ255" s="11"/>
      <c r="CRA255" s="11"/>
      <c r="CRB255" s="11"/>
      <c r="CRC255" s="11"/>
      <c r="CRD255" s="11"/>
      <c r="CRE255" s="11"/>
      <c r="CRF255" s="11"/>
      <c r="CRG255" s="11"/>
      <c r="CRH255" s="11"/>
      <c r="CRI255" s="11"/>
      <c r="CRJ255" s="11"/>
      <c r="CRK255" s="11"/>
      <c r="CRL255" s="11"/>
      <c r="CRM255" s="11"/>
      <c r="CRN255" s="11"/>
      <c r="CRO255" s="11"/>
      <c r="CRP255" s="11"/>
      <c r="CRQ255" s="11"/>
      <c r="CRR255" s="11"/>
      <c r="CRS255" s="11"/>
      <c r="CRT255" s="11"/>
      <c r="CRU255" s="11"/>
      <c r="CRV255" s="11"/>
      <c r="CRW255" s="11"/>
      <c r="CRX255" s="11"/>
      <c r="CRY255" s="11"/>
      <c r="CRZ255" s="11"/>
      <c r="CSA255" s="11"/>
      <c r="CSB255" s="11"/>
      <c r="CSC255" s="11"/>
      <c r="CSD255" s="11"/>
      <c r="CSE255" s="11"/>
      <c r="CSF255" s="11"/>
      <c r="CSG255" s="11"/>
      <c r="CSH255" s="11"/>
      <c r="CSI255" s="11"/>
      <c r="CSJ255" s="11"/>
      <c r="CSK255" s="11"/>
      <c r="CSL255" s="11"/>
      <c r="CSM255" s="11"/>
      <c r="CSN255" s="11"/>
      <c r="CSO255" s="11"/>
      <c r="CSP255" s="11"/>
      <c r="CSQ255" s="11"/>
      <c r="CSR255" s="11"/>
      <c r="CSS255" s="11"/>
      <c r="CST255" s="11"/>
      <c r="CSU255" s="11"/>
      <c r="CSV255" s="11"/>
      <c r="CSW255" s="11"/>
      <c r="CSX255" s="11"/>
      <c r="CSY255" s="11"/>
      <c r="CSZ255" s="11"/>
      <c r="CTA255" s="11"/>
      <c r="CTB255" s="11"/>
      <c r="CTC255" s="11"/>
      <c r="CTD255" s="11"/>
      <c r="CTE255" s="11"/>
      <c r="CTF255" s="11"/>
      <c r="CTG255" s="11"/>
      <c r="CTH255" s="11"/>
      <c r="CTI255" s="11"/>
      <c r="CTJ255" s="11"/>
      <c r="CTK255" s="11"/>
      <c r="CTL255" s="11"/>
      <c r="CTM255" s="11"/>
      <c r="CTN255" s="11"/>
      <c r="CTO255" s="11"/>
      <c r="CTP255" s="11"/>
      <c r="CTQ255" s="11"/>
      <c r="CTR255" s="11"/>
      <c r="CTS255" s="11"/>
      <c r="CTT255" s="11"/>
      <c r="CTU255" s="11"/>
      <c r="CTV255" s="11"/>
      <c r="CTW255" s="11"/>
      <c r="CTX255" s="11"/>
      <c r="CTY255" s="11"/>
      <c r="CTZ255" s="11"/>
      <c r="CUA255" s="11"/>
      <c r="CUB255" s="11"/>
      <c r="CUC255" s="11"/>
      <c r="CUD255" s="11"/>
      <c r="CUE255" s="11"/>
      <c r="CUF255" s="11"/>
      <c r="CUG255" s="11"/>
      <c r="CUH255" s="11"/>
      <c r="CUI255" s="11"/>
      <c r="CUJ255" s="11"/>
      <c r="CUK255" s="11"/>
      <c r="CUL255" s="11"/>
      <c r="CUM255" s="11"/>
      <c r="CUN255" s="11"/>
      <c r="CUO255" s="11"/>
      <c r="CUP255" s="11"/>
      <c r="CUQ255" s="11"/>
      <c r="CUR255" s="11"/>
      <c r="CUS255" s="11"/>
      <c r="CUT255" s="11"/>
      <c r="CUU255" s="11"/>
      <c r="CUV255" s="11"/>
      <c r="CUW255" s="11"/>
      <c r="CUX255" s="11"/>
      <c r="CUY255" s="11"/>
      <c r="CUZ255" s="11"/>
      <c r="CVA255" s="11"/>
      <c r="CVB255" s="11"/>
      <c r="CVC255" s="11"/>
      <c r="CVD255" s="11"/>
      <c r="CVE255" s="11"/>
      <c r="CVF255" s="11"/>
      <c r="CVG255" s="11"/>
      <c r="CVH255" s="11"/>
      <c r="CVI255" s="11"/>
      <c r="CVJ255" s="11"/>
      <c r="CVK255" s="11"/>
      <c r="CVL255" s="11"/>
      <c r="CVM255" s="11"/>
      <c r="CVN255" s="11"/>
      <c r="CVO255" s="11"/>
      <c r="CVP255" s="11"/>
      <c r="CVQ255" s="11"/>
      <c r="CVR255" s="11"/>
      <c r="CVS255" s="11"/>
      <c r="CVT255" s="11"/>
      <c r="CVU255" s="11"/>
      <c r="CVV255" s="11"/>
      <c r="CVW255" s="11"/>
      <c r="CVX255" s="11"/>
      <c r="CVY255" s="11"/>
      <c r="CVZ255" s="11"/>
      <c r="CWA255" s="11"/>
      <c r="CWB255" s="11"/>
      <c r="CWC255" s="11"/>
      <c r="CWD255" s="11"/>
      <c r="CWE255" s="11"/>
      <c r="CWF255" s="11"/>
      <c r="CWG255" s="11"/>
      <c r="CWH255" s="11"/>
      <c r="CWI255" s="11"/>
      <c r="CWJ255" s="11"/>
      <c r="CWK255" s="11"/>
      <c r="CWL255" s="11"/>
      <c r="CWM255" s="11"/>
      <c r="CWN255" s="11"/>
      <c r="CWO255" s="11"/>
      <c r="CWP255" s="11"/>
      <c r="CWQ255" s="11"/>
      <c r="CWR255" s="11"/>
      <c r="CWS255" s="11"/>
      <c r="CWT255" s="11"/>
      <c r="CWU255" s="11"/>
      <c r="CWV255" s="11"/>
      <c r="CWW255" s="11"/>
      <c r="CWX255" s="11"/>
      <c r="CWY255" s="11"/>
      <c r="CWZ255" s="11"/>
      <c r="CXA255" s="11"/>
      <c r="CXB255" s="11"/>
      <c r="CXC255" s="11"/>
      <c r="CXD255" s="11"/>
      <c r="CXE255" s="11"/>
      <c r="CXF255" s="11"/>
      <c r="CXG255" s="11"/>
      <c r="CXH255" s="11"/>
      <c r="CXI255" s="11"/>
      <c r="CXJ255" s="11"/>
      <c r="CXK255" s="11"/>
      <c r="CXL255" s="11"/>
      <c r="CXM255" s="11"/>
      <c r="CXN255" s="11"/>
      <c r="CXO255" s="11"/>
      <c r="CXP255" s="11"/>
      <c r="CXQ255" s="11"/>
      <c r="CXR255" s="11"/>
      <c r="CXS255" s="11"/>
      <c r="CXT255" s="11"/>
      <c r="CXU255" s="11"/>
      <c r="CXV255" s="11"/>
      <c r="CXW255" s="11"/>
      <c r="CXX255" s="11"/>
      <c r="CXY255" s="11"/>
      <c r="CXZ255" s="11"/>
      <c r="CYA255" s="11"/>
      <c r="CYB255" s="11"/>
      <c r="CYC255" s="11"/>
      <c r="CYD255" s="11"/>
      <c r="CYE255" s="11"/>
      <c r="CYF255" s="11"/>
      <c r="CYG255" s="11"/>
      <c r="CYH255" s="11"/>
      <c r="CYI255" s="11"/>
      <c r="CYJ255" s="11"/>
      <c r="CYK255" s="11"/>
      <c r="CYL255" s="11"/>
      <c r="CYM255" s="11"/>
      <c r="CYN255" s="11"/>
      <c r="CYO255" s="11"/>
      <c r="CYP255" s="11"/>
      <c r="CYQ255" s="11"/>
      <c r="CYR255" s="11"/>
      <c r="CYS255" s="11"/>
      <c r="CYT255" s="11"/>
      <c r="CYU255" s="11"/>
      <c r="CYV255" s="11"/>
      <c r="CYW255" s="11"/>
      <c r="CYX255" s="11"/>
      <c r="CYY255" s="11"/>
      <c r="CYZ255" s="11"/>
      <c r="CZA255" s="11"/>
      <c r="CZB255" s="11"/>
      <c r="CZC255" s="11"/>
      <c r="CZD255" s="11"/>
      <c r="CZE255" s="11"/>
      <c r="CZF255" s="11"/>
      <c r="CZG255" s="11"/>
      <c r="CZH255" s="11"/>
      <c r="CZI255" s="11"/>
      <c r="CZJ255" s="11"/>
      <c r="CZK255" s="11"/>
      <c r="CZL255" s="11"/>
      <c r="CZM255" s="11"/>
      <c r="CZN255" s="11"/>
      <c r="CZO255" s="11"/>
      <c r="CZP255" s="11"/>
      <c r="CZQ255" s="11"/>
      <c r="CZR255" s="11"/>
      <c r="CZS255" s="11"/>
      <c r="CZT255" s="11"/>
      <c r="CZU255" s="11"/>
      <c r="CZV255" s="11"/>
      <c r="CZW255" s="11"/>
      <c r="CZX255" s="11"/>
      <c r="CZY255" s="11"/>
      <c r="CZZ255" s="11"/>
      <c r="DAA255" s="11"/>
      <c r="DAB255" s="11"/>
      <c r="DAC255" s="11"/>
      <c r="DAD255" s="11"/>
      <c r="DAE255" s="11"/>
      <c r="DAF255" s="11"/>
      <c r="DAG255" s="11"/>
      <c r="DAH255" s="11"/>
      <c r="DAI255" s="11"/>
      <c r="DAJ255" s="11"/>
      <c r="DAK255" s="11"/>
      <c r="DAL255" s="11"/>
      <c r="DAM255" s="11"/>
      <c r="DAN255" s="11"/>
      <c r="DAO255" s="11"/>
      <c r="DAP255" s="11"/>
      <c r="DAQ255" s="11"/>
      <c r="DAR255" s="11"/>
      <c r="DAS255" s="11"/>
      <c r="DAT255" s="11"/>
      <c r="DAU255" s="11"/>
      <c r="DAV255" s="11"/>
      <c r="DAW255" s="11"/>
      <c r="DAX255" s="11"/>
      <c r="DAY255" s="11"/>
      <c r="DAZ255" s="11"/>
      <c r="DBA255" s="11"/>
      <c r="DBB255" s="11"/>
      <c r="DBC255" s="11"/>
      <c r="DBD255" s="11"/>
      <c r="DBE255" s="11"/>
      <c r="DBF255" s="11"/>
      <c r="DBG255" s="11"/>
      <c r="DBH255" s="11"/>
      <c r="DBI255" s="11"/>
      <c r="DBJ255" s="11"/>
      <c r="DBK255" s="11"/>
      <c r="DBL255" s="11"/>
      <c r="DBM255" s="11"/>
      <c r="DBN255" s="11"/>
      <c r="DBO255" s="11"/>
      <c r="DBP255" s="11"/>
      <c r="DBQ255" s="11"/>
      <c r="DBR255" s="11"/>
      <c r="DBS255" s="11"/>
      <c r="DBT255" s="11"/>
      <c r="DBU255" s="11"/>
      <c r="DBV255" s="11"/>
      <c r="DBW255" s="11"/>
      <c r="DBX255" s="11"/>
      <c r="DBY255" s="11"/>
      <c r="DBZ255" s="11"/>
      <c r="DCA255" s="11"/>
      <c r="DCB255" s="11"/>
      <c r="DCC255" s="11"/>
      <c r="DCD255" s="11"/>
      <c r="DCE255" s="11"/>
      <c r="DCF255" s="11"/>
      <c r="DCG255" s="11"/>
      <c r="DCH255" s="11"/>
      <c r="DCI255" s="11"/>
      <c r="DCJ255" s="11"/>
      <c r="DCK255" s="11"/>
      <c r="DCL255" s="11"/>
      <c r="DCM255" s="11"/>
      <c r="DCN255" s="11"/>
      <c r="DCO255" s="11"/>
      <c r="DCP255" s="11"/>
      <c r="DCQ255" s="11"/>
      <c r="DCR255" s="11"/>
      <c r="DCS255" s="11"/>
      <c r="DCT255" s="11"/>
      <c r="DCU255" s="11"/>
      <c r="DCV255" s="11"/>
      <c r="DCW255" s="11"/>
      <c r="DCX255" s="11"/>
      <c r="DCY255" s="11"/>
      <c r="DCZ255" s="11"/>
      <c r="DDA255" s="11"/>
      <c r="DDB255" s="11"/>
      <c r="DDC255" s="11"/>
      <c r="DDD255" s="11"/>
      <c r="DDE255" s="11"/>
      <c r="DDF255" s="11"/>
      <c r="DDG255" s="11"/>
      <c r="DDH255" s="11"/>
      <c r="DDI255" s="11"/>
      <c r="DDJ255" s="11"/>
      <c r="DDK255" s="11"/>
      <c r="DDL255" s="11"/>
      <c r="DDM255" s="11"/>
      <c r="DDN255" s="11"/>
      <c r="DDO255" s="11"/>
      <c r="DDP255" s="11"/>
      <c r="DDQ255" s="11"/>
      <c r="DDR255" s="11"/>
      <c r="DDS255" s="11"/>
      <c r="DDT255" s="11"/>
      <c r="DDU255" s="11"/>
      <c r="DDV255" s="11"/>
      <c r="DDW255" s="11"/>
      <c r="DDX255" s="11"/>
      <c r="DDY255" s="11"/>
      <c r="DDZ255" s="11"/>
      <c r="DEA255" s="11"/>
      <c r="DEB255" s="11"/>
      <c r="DEC255" s="11"/>
      <c r="DED255" s="11"/>
      <c r="DEE255" s="11"/>
      <c r="DEF255" s="11"/>
      <c r="DEG255" s="11"/>
      <c r="DEH255" s="11"/>
      <c r="DEI255" s="11"/>
      <c r="DEJ255" s="11"/>
      <c r="DEK255" s="11"/>
      <c r="DEL255" s="11"/>
      <c r="DEM255" s="11"/>
      <c r="DEN255" s="11"/>
      <c r="DEO255" s="11"/>
      <c r="DEP255" s="11"/>
      <c r="DEQ255" s="11"/>
      <c r="DER255" s="11"/>
      <c r="DES255" s="11"/>
      <c r="DET255" s="11"/>
      <c r="DEU255" s="11"/>
      <c r="DEV255" s="11"/>
      <c r="DEW255" s="11"/>
      <c r="DEX255" s="11"/>
      <c r="DEY255" s="11"/>
      <c r="DEZ255" s="11"/>
      <c r="DFA255" s="11"/>
      <c r="DFB255" s="11"/>
      <c r="DFC255" s="11"/>
      <c r="DFD255" s="11"/>
      <c r="DFE255" s="11"/>
      <c r="DFF255" s="11"/>
      <c r="DFG255" s="11"/>
      <c r="DFH255" s="11"/>
      <c r="DFI255" s="11"/>
      <c r="DFJ255" s="11"/>
      <c r="DFK255" s="11"/>
      <c r="DFL255" s="11"/>
      <c r="DFM255" s="11"/>
      <c r="DFN255" s="11"/>
      <c r="DFO255" s="11"/>
      <c r="DFP255" s="11"/>
      <c r="DFQ255" s="11"/>
      <c r="DFR255" s="11"/>
      <c r="DFS255" s="11"/>
      <c r="DFT255" s="11"/>
      <c r="DFU255" s="11"/>
      <c r="DFV255" s="11"/>
      <c r="DFW255" s="11"/>
      <c r="DFX255" s="11"/>
      <c r="DFY255" s="11"/>
      <c r="DFZ255" s="11"/>
      <c r="DGA255" s="11"/>
      <c r="DGB255" s="11"/>
      <c r="DGC255" s="11"/>
      <c r="DGD255" s="11"/>
      <c r="DGE255" s="11"/>
      <c r="DGF255" s="11"/>
      <c r="DGG255" s="11"/>
      <c r="DGH255" s="11"/>
      <c r="DGI255" s="11"/>
      <c r="DGJ255" s="11"/>
      <c r="DGK255" s="11"/>
      <c r="DGL255" s="11"/>
      <c r="DGM255" s="11"/>
      <c r="DGN255" s="11"/>
      <c r="DGO255" s="11"/>
      <c r="DGP255" s="11"/>
      <c r="DGQ255" s="11"/>
      <c r="DGR255" s="11"/>
      <c r="DGS255" s="11"/>
      <c r="DGT255" s="11"/>
      <c r="DGU255" s="11"/>
      <c r="DGV255" s="11"/>
      <c r="DGW255" s="11"/>
      <c r="DGX255" s="11"/>
      <c r="DGY255" s="11"/>
      <c r="DGZ255" s="11"/>
      <c r="DHA255" s="11"/>
      <c r="DHB255" s="11"/>
      <c r="DHC255" s="11"/>
      <c r="DHD255" s="11"/>
      <c r="DHE255" s="11"/>
      <c r="DHF255" s="11"/>
      <c r="DHG255" s="11"/>
      <c r="DHH255" s="11"/>
      <c r="DHI255" s="11"/>
      <c r="DHJ255" s="11"/>
      <c r="DHK255" s="11"/>
      <c r="DHL255" s="11"/>
      <c r="DHM255" s="11"/>
      <c r="DHN255" s="11"/>
      <c r="DHO255" s="11"/>
      <c r="DHP255" s="11"/>
      <c r="DHQ255" s="11"/>
      <c r="DHR255" s="11"/>
      <c r="DHS255" s="11"/>
      <c r="DHT255" s="11"/>
      <c r="DHU255" s="11"/>
      <c r="DHV255" s="11"/>
      <c r="DHW255" s="11"/>
      <c r="DHX255" s="11"/>
      <c r="DHY255" s="11"/>
      <c r="DHZ255" s="11"/>
      <c r="DIA255" s="11"/>
      <c r="DIB255" s="11"/>
      <c r="DIC255" s="11"/>
      <c r="DID255" s="11"/>
      <c r="DIE255" s="11"/>
      <c r="DIF255" s="11"/>
      <c r="DIG255" s="11"/>
      <c r="DIH255" s="11"/>
      <c r="DII255" s="11"/>
      <c r="DIJ255" s="11"/>
      <c r="DIK255" s="11"/>
      <c r="DIL255" s="11"/>
      <c r="DIM255" s="11"/>
      <c r="DIN255" s="11"/>
      <c r="DIO255" s="11"/>
      <c r="DIP255" s="11"/>
      <c r="DIQ255" s="11"/>
      <c r="DIR255" s="11"/>
      <c r="DIS255" s="11"/>
      <c r="DIT255" s="11"/>
      <c r="DIU255" s="11"/>
      <c r="DIV255" s="11"/>
      <c r="DIW255" s="11"/>
      <c r="DIX255" s="11"/>
      <c r="DIY255" s="11"/>
      <c r="DIZ255" s="11"/>
      <c r="DJA255" s="11"/>
      <c r="DJB255" s="11"/>
      <c r="DJC255" s="11"/>
      <c r="DJD255" s="11"/>
      <c r="DJE255" s="11"/>
      <c r="DJF255" s="11"/>
      <c r="DJG255" s="11"/>
      <c r="DJH255" s="11"/>
      <c r="DJI255" s="11"/>
      <c r="DJJ255" s="11"/>
      <c r="DJK255" s="11"/>
      <c r="DJL255" s="11"/>
      <c r="DJM255" s="11"/>
      <c r="DJN255" s="11"/>
      <c r="DJO255" s="11"/>
      <c r="DJP255" s="11"/>
      <c r="DJQ255" s="11"/>
      <c r="DJR255" s="11"/>
      <c r="DJS255" s="11"/>
      <c r="DJT255" s="11"/>
      <c r="DJU255" s="11"/>
      <c r="DJV255" s="11"/>
      <c r="DJW255" s="11"/>
      <c r="DJX255" s="11"/>
      <c r="DJY255" s="11"/>
      <c r="DJZ255" s="11"/>
      <c r="DKA255" s="11"/>
      <c r="DKB255" s="11"/>
      <c r="DKC255" s="11"/>
      <c r="DKD255" s="11"/>
      <c r="DKE255" s="11"/>
      <c r="DKF255" s="11"/>
      <c r="DKG255" s="11"/>
      <c r="DKH255" s="11"/>
      <c r="DKI255" s="11"/>
      <c r="DKJ255" s="11"/>
      <c r="DKK255" s="11"/>
      <c r="DKL255" s="11"/>
      <c r="DKM255" s="11"/>
      <c r="DKN255" s="11"/>
      <c r="DKO255" s="11"/>
      <c r="DKP255" s="11"/>
      <c r="DKQ255" s="11"/>
      <c r="DKR255" s="11"/>
      <c r="DKS255" s="11"/>
      <c r="DKT255" s="11"/>
      <c r="DKU255" s="11"/>
      <c r="DKV255" s="11"/>
      <c r="DKW255" s="11"/>
      <c r="DKX255" s="11"/>
      <c r="DKY255" s="11"/>
      <c r="DKZ255" s="11"/>
      <c r="DLA255" s="11"/>
      <c r="DLB255" s="11"/>
      <c r="DLC255" s="11"/>
      <c r="DLD255" s="11"/>
      <c r="DLE255" s="11"/>
      <c r="DLF255" s="11"/>
      <c r="DLG255" s="11"/>
      <c r="DLH255" s="11"/>
      <c r="DLI255" s="11"/>
      <c r="DLJ255" s="11"/>
      <c r="DLK255" s="11"/>
      <c r="DLL255" s="11"/>
      <c r="DLM255" s="11"/>
      <c r="DLN255" s="11"/>
      <c r="DLO255" s="11"/>
      <c r="DLP255" s="11"/>
      <c r="DLQ255" s="11"/>
      <c r="DLR255" s="11"/>
      <c r="DLS255" s="11"/>
      <c r="DLT255" s="11"/>
      <c r="DLU255" s="11"/>
      <c r="DLV255" s="11"/>
      <c r="DLW255" s="11"/>
      <c r="DLX255" s="11"/>
      <c r="DLY255" s="11"/>
      <c r="DLZ255" s="11"/>
      <c r="DMA255" s="11"/>
      <c r="DMB255" s="11"/>
      <c r="DMC255" s="11"/>
      <c r="DMD255" s="11"/>
      <c r="DME255" s="11"/>
      <c r="DMF255" s="11"/>
      <c r="DMG255" s="11"/>
      <c r="DMH255" s="11"/>
      <c r="DMI255" s="11"/>
      <c r="DMJ255" s="11"/>
      <c r="DMK255" s="11"/>
      <c r="DML255" s="11"/>
      <c r="DMM255" s="11"/>
      <c r="DMN255" s="11"/>
      <c r="DMO255" s="11"/>
      <c r="DMP255" s="11"/>
      <c r="DMQ255" s="11"/>
      <c r="DMR255" s="11"/>
      <c r="DMS255" s="11"/>
      <c r="DMT255" s="11"/>
      <c r="DMU255" s="11"/>
      <c r="DMV255" s="11"/>
      <c r="DMW255" s="11"/>
      <c r="DMX255" s="11"/>
      <c r="DMY255" s="11"/>
      <c r="DMZ255" s="11"/>
      <c r="DNA255" s="11"/>
      <c r="DNB255" s="11"/>
      <c r="DNC255" s="11"/>
      <c r="DND255" s="11"/>
      <c r="DNE255" s="11"/>
      <c r="DNF255" s="11"/>
      <c r="DNG255" s="11"/>
      <c r="DNH255" s="11"/>
      <c r="DNI255" s="11"/>
      <c r="DNJ255" s="11"/>
      <c r="DNK255" s="11"/>
      <c r="DNL255" s="11"/>
      <c r="DNM255" s="11"/>
      <c r="DNN255" s="11"/>
      <c r="DNO255" s="11"/>
      <c r="DNP255" s="11"/>
      <c r="DNQ255" s="11"/>
      <c r="DNR255" s="11"/>
      <c r="DNS255" s="11"/>
      <c r="DNT255" s="11"/>
      <c r="DNU255" s="11"/>
      <c r="DNV255" s="11"/>
      <c r="DNW255" s="11"/>
      <c r="DNX255" s="11"/>
      <c r="DNY255" s="11"/>
      <c r="DNZ255" s="11"/>
      <c r="DOA255" s="11"/>
      <c r="DOB255" s="11"/>
      <c r="DOC255" s="11"/>
      <c r="DOD255" s="11"/>
      <c r="DOE255" s="11"/>
      <c r="DOF255" s="11"/>
      <c r="DOG255" s="11"/>
      <c r="DOH255" s="11"/>
      <c r="DOI255" s="11"/>
      <c r="DOJ255" s="11"/>
      <c r="DOK255" s="11"/>
      <c r="DOL255" s="11"/>
      <c r="DOM255" s="11"/>
      <c r="DON255" s="11"/>
      <c r="DOO255" s="11"/>
      <c r="DOP255" s="11"/>
      <c r="DOQ255" s="11"/>
      <c r="DOR255" s="11"/>
      <c r="DOS255" s="11"/>
      <c r="DOT255" s="11"/>
      <c r="DOU255" s="11"/>
      <c r="DOV255" s="11"/>
      <c r="DOW255" s="11"/>
      <c r="DOX255" s="11"/>
      <c r="DOY255" s="11"/>
      <c r="DOZ255" s="11"/>
      <c r="DPA255" s="11"/>
      <c r="DPB255" s="11"/>
      <c r="DPC255" s="11"/>
      <c r="DPD255" s="11"/>
      <c r="DPE255" s="11"/>
      <c r="DPF255" s="11"/>
      <c r="DPG255" s="11"/>
      <c r="DPH255" s="11"/>
      <c r="DPI255" s="11"/>
      <c r="DPJ255" s="11"/>
      <c r="DPK255" s="11"/>
      <c r="DPL255" s="11"/>
      <c r="DPM255" s="11"/>
      <c r="DPN255" s="11"/>
      <c r="DPO255" s="11"/>
      <c r="DPP255" s="11"/>
      <c r="DPQ255" s="11"/>
      <c r="DPR255" s="11"/>
      <c r="DPS255" s="11"/>
      <c r="DPT255" s="11"/>
      <c r="DPU255" s="11"/>
      <c r="DPV255" s="11"/>
      <c r="DPW255" s="11"/>
      <c r="DPX255" s="11"/>
      <c r="DPY255" s="11"/>
      <c r="DPZ255" s="11"/>
      <c r="DQA255" s="11"/>
      <c r="DQB255" s="11"/>
      <c r="DQC255" s="11"/>
      <c r="DQD255" s="11"/>
      <c r="DQE255" s="11"/>
      <c r="DQF255" s="11"/>
      <c r="DQG255" s="11"/>
      <c r="DQH255" s="11"/>
      <c r="DQI255" s="11"/>
      <c r="DQJ255" s="11"/>
      <c r="DQK255" s="11"/>
      <c r="DQL255" s="11"/>
      <c r="DQM255" s="11"/>
      <c r="DQN255" s="11"/>
      <c r="DQO255" s="11"/>
      <c r="DQP255" s="11"/>
      <c r="DQQ255" s="11"/>
      <c r="DQR255" s="11"/>
      <c r="DQS255" s="11"/>
      <c r="DQT255" s="11"/>
      <c r="DQU255" s="11"/>
      <c r="DQV255" s="11"/>
      <c r="DQW255" s="11"/>
      <c r="DQX255" s="11"/>
      <c r="DQY255" s="11"/>
      <c r="DQZ255" s="11"/>
      <c r="DRA255" s="11"/>
      <c r="DRB255" s="11"/>
      <c r="DRC255" s="11"/>
      <c r="DRD255" s="11"/>
      <c r="DRE255" s="11"/>
      <c r="DRF255" s="11"/>
      <c r="DRG255" s="11"/>
      <c r="DRH255" s="11"/>
      <c r="DRI255" s="11"/>
      <c r="DRJ255" s="11"/>
      <c r="DRK255" s="11"/>
      <c r="DRL255" s="11"/>
      <c r="DRM255" s="11"/>
      <c r="DRN255" s="11"/>
      <c r="DRO255" s="11"/>
      <c r="DRP255" s="11"/>
      <c r="DRQ255" s="11"/>
      <c r="DRR255" s="11"/>
      <c r="DRS255" s="11"/>
      <c r="DRT255" s="11"/>
      <c r="DRU255" s="11"/>
      <c r="DRV255" s="11"/>
      <c r="DRW255" s="11"/>
      <c r="DRX255" s="11"/>
      <c r="DRY255" s="11"/>
      <c r="DRZ255" s="11"/>
      <c r="DSA255" s="11"/>
      <c r="DSB255" s="11"/>
      <c r="DSC255" s="11"/>
      <c r="DSD255" s="11"/>
      <c r="DSE255" s="11"/>
      <c r="DSF255" s="11"/>
      <c r="DSG255" s="11"/>
      <c r="DSH255" s="11"/>
      <c r="DSI255" s="11"/>
      <c r="DSJ255" s="11"/>
      <c r="DSK255" s="11"/>
      <c r="DSL255" s="11"/>
      <c r="DSM255" s="11"/>
      <c r="DSN255" s="11"/>
      <c r="DSO255" s="11"/>
      <c r="DSP255" s="11"/>
      <c r="DSQ255" s="11"/>
      <c r="DSR255" s="11"/>
      <c r="DSS255" s="11"/>
      <c r="DST255" s="11"/>
      <c r="DSU255" s="11"/>
      <c r="DSV255" s="11"/>
      <c r="DSW255" s="11"/>
      <c r="DSX255" s="11"/>
      <c r="DSY255" s="11"/>
      <c r="DSZ255" s="11"/>
      <c r="DTA255" s="11"/>
      <c r="DTB255" s="11"/>
      <c r="DTC255" s="11"/>
      <c r="DTD255" s="11"/>
      <c r="DTE255" s="11"/>
      <c r="DTF255" s="11"/>
      <c r="DTG255" s="11"/>
      <c r="DTH255" s="11"/>
      <c r="DTI255" s="11"/>
      <c r="DTJ255" s="11"/>
      <c r="DTK255" s="11"/>
      <c r="DTL255" s="11"/>
      <c r="DTM255" s="11"/>
      <c r="DTN255" s="11"/>
      <c r="DTO255" s="11"/>
      <c r="DTP255" s="11"/>
      <c r="DTQ255" s="11"/>
      <c r="DTR255" s="11"/>
      <c r="DTS255" s="11"/>
      <c r="DTT255" s="11"/>
      <c r="DTU255" s="11"/>
      <c r="DTV255" s="11"/>
      <c r="DTW255" s="11"/>
      <c r="DTX255" s="11"/>
      <c r="DTY255" s="11"/>
      <c r="DTZ255" s="11"/>
      <c r="DUA255" s="11"/>
      <c r="DUB255" s="11"/>
      <c r="DUC255" s="11"/>
      <c r="DUD255" s="11"/>
      <c r="DUE255" s="11"/>
      <c r="DUF255" s="11"/>
      <c r="DUG255" s="11"/>
      <c r="DUH255" s="11"/>
      <c r="DUI255" s="11"/>
      <c r="DUJ255" s="11"/>
      <c r="DUK255" s="11"/>
      <c r="DUL255" s="11"/>
      <c r="DUM255" s="11"/>
      <c r="DUN255" s="11"/>
      <c r="DUO255" s="11"/>
      <c r="DUP255" s="11"/>
      <c r="DUQ255" s="11"/>
      <c r="DUR255" s="11"/>
      <c r="DUS255" s="11"/>
      <c r="DUT255" s="11"/>
      <c r="DUU255" s="11"/>
      <c r="DUV255" s="11"/>
      <c r="DUW255" s="11"/>
      <c r="DUX255" s="11"/>
      <c r="DUY255" s="11"/>
      <c r="DUZ255" s="11"/>
      <c r="DVA255" s="11"/>
      <c r="DVB255" s="11"/>
      <c r="DVC255" s="11"/>
      <c r="DVD255" s="11"/>
      <c r="DVE255" s="11"/>
      <c r="DVF255" s="11"/>
      <c r="DVG255" s="11"/>
      <c r="DVH255" s="11"/>
      <c r="DVI255" s="11"/>
      <c r="DVJ255" s="11"/>
      <c r="DVK255" s="11"/>
      <c r="DVL255" s="11"/>
      <c r="DVM255" s="11"/>
      <c r="DVN255" s="11"/>
      <c r="DVO255" s="11"/>
      <c r="DVP255" s="11"/>
      <c r="DVQ255" s="11"/>
      <c r="DVR255" s="11"/>
      <c r="DVS255" s="11"/>
      <c r="DVT255" s="11"/>
      <c r="DVU255" s="11"/>
      <c r="DVV255" s="11"/>
      <c r="DVW255" s="11"/>
      <c r="DVX255" s="11"/>
      <c r="DVY255" s="11"/>
      <c r="DVZ255" s="11"/>
      <c r="DWA255" s="11"/>
      <c r="DWB255" s="11"/>
      <c r="DWC255" s="11"/>
      <c r="DWD255" s="11"/>
      <c r="DWE255" s="11"/>
      <c r="DWF255" s="11"/>
      <c r="DWG255" s="11"/>
      <c r="DWH255" s="11"/>
      <c r="DWI255" s="11"/>
      <c r="DWJ255" s="11"/>
      <c r="DWK255" s="11"/>
      <c r="DWL255" s="11"/>
      <c r="DWM255" s="11"/>
      <c r="DWN255" s="11"/>
      <c r="DWO255" s="11"/>
      <c r="DWP255" s="11"/>
      <c r="DWQ255" s="11"/>
      <c r="DWR255" s="11"/>
      <c r="DWS255" s="11"/>
      <c r="DWT255" s="11"/>
      <c r="DWU255" s="11"/>
      <c r="DWV255" s="11"/>
      <c r="DWW255" s="11"/>
      <c r="DWX255" s="11"/>
      <c r="DWY255" s="11"/>
      <c r="DWZ255" s="11"/>
      <c r="DXA255" s="11"/>
      <c r="DXB255" s="11"/>
      <c r="DXC255" s="11"/>
      <c r="DXD255" s="11"/>
      <c r="DXE255" s="11"/>
      <c r="DXF255" s="11"/>
      <c r="DXG255" s="11"/>
      <c r="DXH255" s="11"/>
      <c r="DXI255" s="11"/>
      <c r="DXJ255" s="11"/>
      <c r="DXK255" s="11"/>
      <c r="DXL255" s="11"/>
      <c r="DXM255" s="11"/>
      <c r="DXN255" s="11"/>
      <c r="DXO255" s="11"/>
      <c r="DXP255" s="11"/>
      <c r="DXQ255" s="11"/>
      <c r="DXR255" s="11"/>
      <c r="DXS255" s="11"/>
      <c r="DXT255" s="11"/>
      <c r="DXU255" s="11"/>
      <c r="DXV255" s="11"/>
      <c r="DXW255" s="11"/>
      <c r="DXX255" s="11"/>
      <c r="DXY255" s="11"/>
      <c r="DXZ255" s="11"/>
      <c r="DYA255" s="11"/>
      <c r="DYB255" s="11"/>
      <c r="DYC255" s="11"/>
      <c r="DYD255" s="11"/>
      <c r="DYE255" s="11"/>
      <c r="DYF255" s="11"/>
      <c r="DYG255" s="11"/>
      <c r="DYH255" s="11"/>
      <c r="DYI255" s="11"/>
      <c r="DYJ255" s="11"/>
      <c r="DYK255" s="11"/>
      <c r="DYL255" s="11"/>
      <c r="DYM255" s="11"/>
      <c r="DYN255" s="11"/>
      <c r="DYO255" s="11"/>
      <c r="DYP255" s="11"/>
      <c r="DYQ255" s="11"/>
      <c r="DYR255" s="11"/>
      <c r="DYS255" s="11"/>
      <c r="DYT255" s="11"/>
      <c r="DYU255" s="11"/>
      <c r="DYV255" s="11"/>
      <c r="DYW255" s="11"/>
      <c r="DYX255" s="11"/>
      <c r="DYY255" s="11"/>
      <c r="DYZ255" s="11"/>
      <c r="DZA255" s="11"/>
      <c r="DZB255" s="11"/>
      <c r="DZC255" s="11"/>
      <c r="DZD255" s="11"/>
      <c r="DZE255" s="11"/>
      <c r="DZF255" s="11"/>
      <c r="DZG255" s="11"/>
      <c r="DZH255" s="11"/>
      <c r="DZI255" s="11"/>
      <c r="DZJ255" s="11"/>
      <c r="DZK255" s="11"/>
      <c r="DZL255" s="11"/>
      <c r="DZM255" s="11"/>
      <c r="DZN255" s="11"/>
      <c r="DZO255" s="11"/>
      <c r="DZP255" s="11"/>
      <c r="DZQ255" s="11"/>
      <c r="DZR255" s="11"/>
      <c r="DZS255" s="11"/>
      <c r="DZT255" s="11"/>
      <c r="DZU255" s="11"/>
      <c r="DZV255" s="11"/>
      <c r="DZW255" s="11"/>
      <c r="DZX255" s="11"/>
      <c r="DZY255" s="11"/>
      <c r="DZZ255" s="11"/>
      <c r="EAA255" s="11"/>
      <c r="EAB255" s="11"/>
      <c r="EAC255" s="11"/>
      <c r="EAD255" s="11"/>
      <c r="EAE255" s="11"/>
      <c r="EAF255" s="11"/>
      <c r="EAG255" s="11"/>
      <c r="EAH255" s="11"/>
      <c r="EAI255" s="11"/>
      <c r="EAJ255" s="11"/>
      <c r="EAK255" s="11"/>
      <c r="EAL255" s="11"/>
      <c r="EAM255" s="11"/>
      <c r="EAN255" s="11"/>
      <c r="EAO255" s="11"/>
      <c r="EAP255" s="11"/>
      <c r="EAQ255" s="11"/>
      <c r="EAR255" s="11"/>
      <c r="EAS255" s="11"/>
      <c r="EAT255" s="11"/>
      <c r="EAU255" s="11"/>
      <c r="EAV255" s="11"/>
      <c r="EAW255" s="11"/>
      <c r="EAX255" s="11"/>
      <c r="EAY255" s="11"/>
      <c r="EAZ255" s="11"/>
      <c r="EBA255" s="11"/>
      <c r="EBB255" s="11"/>
      <c r="EBC255" s="11"/>
      <c r="EBD255" s="11"/>
      <c r="EBE255" s="11"/>
      <c r="EBF255" s="11"/>
      <c r="EBG255" s="11"/>
      <c r="EBH255" s="11"/>
      <c r="EBI255" s="11"/>
      <c r="EBJ255" s="11"/>
      <c r="EBK255" s="11"/>
      <c r="EBL255" s="11"/>
      <c r="EBM255" s="11"/>
      <c r="EBN255" s="11"/>
      <c r="EBO255" s="11"/>
      <c r="EBP255" s="11"/>
      <c r="EBQ255" s="11"/>
      <c r="EBR255" s="11"/>
      <c r="EBS255" s="11"/>
      <c r="EBT255" s="11"/>
      <c r="EBU255" s="11"/>
      <c r="EBV255" s="11"/>
      <c r="EBW255" s="11"/>
      <c r="EBX255" s="11"/>
      <c r="EBY255" s="11"/>
      <c r="EBZ255" s="11"/>
      <c r="ECA255" s="11"/>
      <c r="ECB255" s="11"/>
      <c r="ECC255" s="11"/>
      <c r="ECD255" s="11"/>
      <c r="ECE255" s="11"/>
      <c r="ECF255" s="11"/>
      <c r="ECG255" s="11"/>
      <c r="ECH255" s="11"/>
      <c r="ECI255" s="11"/>
      <c r="ECJ255" s="11"/>
      <c r="ECK255" s="11"/>
      <c r="ECL255" s="11"/>
      <c r="ECM255" s="11"/>
      <c r="ECN255" s="11"/>
      <c r="ECO255" s="11"/>
      <c r="ECP255" s="11"/>
      <c r="ECQ255" s="11"/>
      <c r="ECR255" s="11"/>
      <c r="ECS255" s="11"/>
      <c r="ECT255" s="11"/>
      <c r="ECU255" s="11"/>
      <c r="ECV255" s="11"/>
      <c r="ECW255" s="11"/>
      <c r="ECX255" s="11"/>
      <c r="ECY255" s="11"/>
      <c r="ECZ255" s="11"/>
      <c r="EDA255" s="11"/>
      <c r="EDB255" s="11"/>
      <c r="EDC255" s="11"/>
      <c r="EDD255" s="11"/>
      <c r="EDE255" s="11"/>
      <c r="EDF255" s="11"/>
      <c r="EDG255" s="11"/>
      <c r="EDH255" s="11"/>
      <c r="EDI255" s="11"/>
      <c r="EDJ255" s="11"/>
      <c r="EDK255" s="11"/>
      <c r="EDL255" s="11"/>
      <c r="EDM255" s="11"/>
      <c r="EDN255" s="11"/>
      <c r="EDO255" s="11"/>
      <c r="EDP255" s="11"/>
      <c r="EDQ255" s="11"/>
      <c r="EDR255" s="11"/>
      <c r="EDS255" s="11"/>
      <c r="EDT255" s="11"/>
      <c r="EDU255" s="11"/>
      <c r="EDV255" s="11"/>
      <c r="EDW255" s="11"/>
      <c r="EDX255" s="11"/>
      <c r="EDY255" s="11"/>
      <c r="EDZ255" s="11"/>
      <c r="EEA255" s="11"/>
      <c r="EEB255" s="11"/>
      <c r="EEC255" s="11"/>
      <c r="EED255" s="11"/>
      <c r="EEE255" s="11"/>
      <c r="EEF255" s="11"/>
      <c r="EEG255" s="11"/>
      <c r="EEH255" s="11"/>
      <c r="EEI255" s="11"/>
      <c r="EEJ255" s="11"/>
      <c r="EEK255" s="11"/>
      <c r="EEL255" s="11"/>
      <c r="EEM255" s="11"/>
      <c r="EEN255" s="11"/>
      <c r="EEO255" s="11"/>
      <c r="EEP255" s="11"/>
      <c r="EEQ255" s="11"/>
      <c r="EER255" s="11"/>
      <c r="EES255" s="11"/>
      <c r="EET255" s="11"/>
      <c r="EEU255" s="11"/>
      <c r="EEV255" s="11"/>
      <c r="EEW255" s="11"/>
      <c r="EEX255" s="11"/>
      <c r="EEY255" s="11"/>
      <c r="EEZ255" s="11"/>
      <c r="EFA255" s="11"/>
      <c r="EFB255" s="11"/>
      <c r="EFC255" s="11"/>
      <c r="EFD255" s="11"/>
      <c r="EFE255" s="11"/>
      <c r="EFF255" s="11"/>
      <c r="EFG255" s="11"/>
      <c r="EFH255" s="11"/>
      <c r="EFI255" s="11"/>
      <c r="EFJ255" s="11"/>
      <c r="EFK255" s="11"/>
      <c r="EFL255" s="11"/>
      <c r="EFM255" s="11"/>
      <c r="EFN255" s="11"/>
      <c r="EFO255" s="11"/>
      <c r="EFP255" s="11"/>
      <c r="EFQ255" s="11"/>
      <c r="EFR255" s="11"/>
      <c r="EFS255" s="11"/>
      <c r="EFT255" s="11"/>
      <c r="EFU255" s="11"/>
      <c r="EFV255" s="11"/>
      <c r="EFW255" s="11"/>
      <c r="EFX255" s="11"/>
      <c r="EFY255" s="11"/>
      <c r="EFZ255" s="11"/>
      <c r="EGA255" s="11"/>
      <c r="EGB255" s="11"/>
      <c r="EGC255" s="11"/>
      <c r="EGD255" s="11"/>
      <c r="EGE255" s="11"/>
      <c r="EGF255" s="11"/>
      <c r="EGG255" s="11"/>
      <c r="EGH255" s="11"/>
      <c r="EGI255" s="11"/>
      <c r="EGJ255" s="11"/>
      <c r="EGK255" s="11"/>
      <c r="EGL255" s="11"/>
      <c r="EGM255" s="11"/>
      <c r="EGN255" s="11"/>
      <c r="EGO255" s="11"/>
      <c r="EGP255" s="11"/>
      <c r="EGQ255" s="11"/>
      <c r="EGR255" s="11"/>
      <c r="EGS255" s="11"/>
      <c r="EGT255" s="11"/>
      <c r="EGU255" s="11"/>
      <c r="EGV255" s="11"/>
      <c r="EGW255" s="11"/>
      <c r="EGX255" s="11"/>
      <c r="EGY255" s="11"/>
      <c r="EGZ255" s="11"/>
      <c r="EHA255" s="11"/>
      <c r="EHB255" s="11"/>
      <c r="EHC255" s="11"/>
      <c r="EHD255" s="11"/>
      <c r="EHE255" s="11"/>
      <c r="EHF255" s="11"/>
      <c r="EHG255" s="11"/>
      <c r="EHH255" s="11"/>
      <c r="EHI255" s="11"/>
      <c r="EHJ255" s="11"/>
      <c r="EHK255" s="11"/>
      <c r="EHL255" s="11"/>
      <c r="EHM255" s="11"/>
      <c r="EHN255" s="11"/>
      <c r="EHO255" s="11"/>
      <c r="EHP255" s="11"/>
      <c r="EHQ255" s="11"/>
      <c r="EHR255" s="11"/>
      <c r="EHS255" s="11"/>
      <c r="EHT255" s="11"/>
      <c r="EHU255" s="11"/>
      <c r="EHV255" s="11"/>
      <c r="EHW255" s="11"/>
      <c r="EHX255" s="11"/>
      <c r="EHY255" s="11"/>
      <c r="EHZ255" s="11"/>
      <c r="EIA255" s="11"/>
      <c r="EIB255" s="11"/>
      <c r="EIC255" s="11"/>
      <c r="EID255" s="11"/>
      <c r="EIE255" s="11"/>
      <c r="EIF255" s="11"/>
      <c r="EIG255" s="11"/>
      <c r="EIH255" s="11"/>
      <c r="EII255" s="11"/>
      <c r="EIJ255" s="11"/>
      <c r="EIK255" s="11"/>
      <c r="EIL255" s="11"/>
      <c r="EIM255" s="11"/>
      <c r="EIN255" s="11"/>
      <c r="EIO255" s="11"/>
      <c r="EIP255" s="11"/>
      <c r="EIQ255" s="11"/>
      <c r="EIR255" s="11"/>
      <c r="EIS255" s="11"/>
      <c r="EIT255" s="11"/>
      <c r="EIU255" s="11"/>
      <c r="EIV255" s="11"/>
      <c r="EIW255" s="11"/>
      <c r="EIX255" s="11"/>
      <c r="EIY255" s="11"/>
      <c r="EIZ255" s="11"/>
      <c r="EJA255" s="11"/>
      <c r="EJB255" s="11"/>
      <c r="EJC255" s="11"/>
      <c r="EJD255" s="11"/>
      <c r="EJE255" s="11"/>
      <c r="EJF255" s="11"/>
      <c r="EJG255" s="11"/>
      <c r="EJH255" s="11"/>
      <c r="EJI255" s="11"/>
      <c r="EJJ255" s="11"/>
      <c r="EJK255" s="11"/>
      <c r="EJL255" s="11"/>
      <c r="EJM255" s="11"/>
      <c r="EJN255" s="11"/>
      <c r="EJO255" s="11"/>
      <c r="EJP255" s="11"/>
      <c r="EJQ255" s="11"/>
      <c r="EJR255" s="11"/>
      <c r="EJS255" s="11"/>
      <c r="EJT255" s="11"/>
      <c r="EJU255" s="11"/>
      <c r="EJV255" s="11"/>
      <c r="EJW255" s="11"/>
      <c r="EJX255" s="11"/>
      <c r="EJY255" s="11"/>
      <c r="EJZ255" s="11"/>
      <c r="EKA255" s="11"/>
      <c r="EKB255" s="11"/>
      <c r="EKC255" s="11"/>
      <c r="EKD255" s="11"/>
      <c r="EKE255" s="11"/>
      <c r="EKF255" s="11"/>
      <c r="EKG255" s="11"/>
      <c r="EKH255" s="11"/>
      <c r="EKI255" s="11"/>
      <c r="EKJ255" s="11"/>
      <c r="EKK255" s="11"/>
      <c r="EKL255" s="11"/>
      <c r="EKM255" s="11"/>
      <c r="EKN255" s="11"/>
      <c r="EKO255" s="11"/>
      <c r="EKP255" s="11"/>
      <c r="EKQ255" s="11"/>
      <c r="EKR255" s="11"/>
      <c r="EKS255" s="11"/>
      <c r="EKT255" s="11"/>
      <c r="EKU255" s="11"/>
      <c r="EKV255" s="11"/>
      <c r="EKW255" s="11"/>
      <c r="EKX255" s="11"/>
      <c r="EKY255" s="11"/>
      <c r="EKZ255" s="11"/>
      <c r="ELA255" s="11"/>
      <c r="ELB255" s="11"/>
      <c r="ELC255" s="11"/>
      <c r="ELD255" s="11"/>
      <c r="ELE255" s="11"/>
      <c r="ELF255" s="11"/>
      <c r="ELG255" s="11"/>
      <c r="ELH255" s="11"/>
      <c r="ELI255" s="11"/>
      <c r="ELJ255" s="11"/>
      <c r="ELK255" s="11"/>
      <c r="ELL255" s="11"/>
      <c r="ELM255" s="11"/>
      <c r="ELN255" s="11"/>
      <c r="ELO255" s="11"/>
      <c r="ELP255" s="11"/>
      <c r="ELQ255" s="11"/>
      <c r="ELR255" s="11"/>
      <c r="ELS255" s="11"/>
      <c r="ELT255" s="11"/>
      <c r="ELU255" s="11"/>
      <c r="ELV255" s="11"/>
      <c r="ELW255" s="11"/>
      <c r="ELX255" s="11"/>
      <c r="ELY255" s="11"/>
      <c r="ELZ255" s="11"/>
      <c r="EMA255" s="11"/>
      <c r="EMB255" s="11"/>
      <c r="EMC255" s="11"/>
      <c r="EMD255" s="11"/>
      <c r="EME255" s="11"/>
      <c r="EMF255" s="11"/>
      <c r="EMG255" s="11"/>
      <c r="EMH255" s="11"/>
      <c r="EMI255" s="11"/>
      <c r="EMJ255" s="11"/>
      <c r="EMK255" s="11"/>
      <c r="EML255" s="11"/>
      <c r="EMM255" s="11"/>
      <c r="EMN255" s="11"/>
      <c r="EMO255" s="11"/>
      <c r="EMP255" s="11"/>
      <c r="EMQ255" s="11"/>
      <c r="EMR255" s="11"/>
      <c r="EMS255" s="11"/>
      <c r="EMT255" s="11"/>
      <c r="EMU255" s="11"/>
      <c r="EMV255" s="11"/>
      <c r="EMW255" s="11"/>
      <c r="EMX255" s="11"/>
      <c r="EMY255" s="11"/>
      <c r="EMZ255" s="11"/>
      <c r="ENA255" s="11"/>
      <c r="ENB255" s="11"/>
      <c r="ENC255" s="11"/>
      <c r="END255" s="11"/>
      <c r="ENE255" s="11"/>
      <c r="ENF255" s="11"/>
      <c r="ENG255" s="11"/>
      <c r="ENH255" s="11"/>
      <c r="ENI255" s="11"/>
      <c r="ENJ255" s="11"/>
      <c r="ENK255" s="11"/>
      <c r="ENL255" s="11"/>
      <c r="ENM255" s="11"/>
      <c r="ENN255" s="11"/>
      <c r="ENO255" s="11"/>
      <c r="ENP255" s="11"/>
      <c r="ENQ255" s="11"/>
      <c r="ENR255" s="11"/>
      <c r="ENS255" s="11"/>
      <c r="ENT255" s="11"/>
      <c r="ENU255" s="11"/>
      <c r="ENV255" s="11"/>
      <c r="ENW255" s="11"/>
      <c r="ENX255" s="11"/>
      <c r="ENY255" s="11"/>
      <c r="ENZ255" s="11"/>
      <c r="EOA255" s="11"/>
      <c r="EOB255" s="11"/>
      <c r="EOC255" s="11"/>
      <c r="EOD255" s="11"/>
      <c r="EOE255" s="11"/>
      <c r="EOF255" s="11"/>
      <c r="EOG255" s="11"/>
      <c r="EOH255" s="11"/>
      <c r="EOI255" s="11"/>
      <c r="EOJ255" s="11"/>
      <c r="EOK255" s="11"/>
      <c r="EOL255" s="11"/>
      <c r="EOM255" s="11"/>
      <c r="EON255" s="11"/>
      <c r="EOO255" s="11"/>
      <c r="EOP255" s="11"/>
      <c r="EOQ255" s="11"/>
      <c r="EOR255" s="11"/>
      <c r="EOS255" s="11"/>
      <c r="EOT255" s="11"/>
      <c r="EOU255" s="11"/>
      <c r="EOV255" s="11"/>
      <c r="EOW255" s="11"/>
      <c r="EOX255" s="11"/>
      <c r="EOY255" s="11"/>
      <c r="EOZ255" s="11"/>
      <c r="EPA255" s="11"/>
      <c r="EPB255" s="11"/>
      <c r="EPC255" s="11"/>
      <c r="EPD255" s="11"/>
      <c r="EPE255" s="11"/>
      <c r="EPF255" s="11"/>
      <c r="EPG255" s="11"/>
      <c r="EPH255" s="11"/>
      <c r="EPI255" s="11"/>
      <c r="EPJ255" s="11"/>
      <c r="EPK255" s="11"/>
      <c r="EPL255" s="11"/>
      <c r="EPM255" s="11"/>
      <c r="EPN255" s="11"/>
      <c r="EPO255" s="11"/>
      <c r="EPP255" s="11"/>
      <c r="EPQ255" s="11"/>
      <c r="EPR255" s="11"/>
      <c r="EPS255" s="11"/>
      <c r="EPT255" s="11"/>
      <c r="EPU255" s="11"/>
      <c r="EPV255" s="11"/>
      <c r="EPW255" s="11"/>
      <c r="EPX255" s="11"/>
      <c r="EPY255" s="11"/>
      <c r="EPZ255" s="11"/>
      <c r="EQA255" s="11"/>
      <c r="EQB255" s="11"/>
      <c r="EQC255" s="11"/>
      <c r="EQD255" s="11"/>
      <c r="EQE255" s="11"/>
      <c r="EQF255" s="11"/>
      <c r="EQG255" s="11"/>
      <c r="EQH255" s="11"/>
      <c r="EQI255" s="11"/>
      <c r="EQJ255" s="11"/>
      <c r="EQK255" s="11"/>
      <c r="EQL255" s="11"/>
      <c r="EQM255" s="11"/>
      <c r="EQN255" s="11"/>
      <c r="EQO255" s="11"/>
      <c r="EQP255" s="11"/>
      <c r="EQQ255" s="11"/>
      <c r="EQR255" s="11"/>
      <c r="EQS255" s="11"/>
      <c r="EQT255" s="11"/>
      <c r="EQU255" s="11"/>
      <c r="EQV255" s="11"/>
      <c r="EQW255" s="11"/>
      <c r="EQX255" s="11"/>
      <c r="EQY255" s="11"/>
      <c r="EQZ255" s="11"/>
      <c r="ERA255" s="11"/>
      <c r="ERB255" s="11"/>
      <c r="ERC255" s="11"/>
      <c r="ERD255" s="11"/>
      <c r="ERE255" s="11"/>
      <c r="ERF255" s="11"/>
      <c r="ERG255" s="11"/>
      <c r="ERH255" s="11"/>
      <c r="ERI255" s="11"/>
      <c r="ERJ255" s="11"/>
      <c r="ERK255" s="11"/>
      <c r="ERL255" s="11"/>
      <c r="ERM255" s="11"/>
      <c r="ERN255" s="11"/>
      <c r="ERO255" s="11"/>
      <c r="ERP255" s="11"/>
      <c r="ERQ255" s="11"/>
      <c r="ERR255" s="11"/>
      <c r="ERS255" s="11"/>
      <c r="ERT255" s="11"/>
      <c r="ERU255" s="11"/>
      <c r="ERV255" s="11"/>
      <c r="ERW255" s="11"/>
      <c r="ERX255" s="11"/>
      <c r="ERY255" s="11"/>
      <c r="ERZ255" s="11"/>
      <c r="ESA255" s="11"/>
      <c r="ESB255" s="11"/>
      <c r="ESC255" s="11"/>
      <c r="ESD255" s="11"/>
      <c r="ESE255" s="11"/>
      <c r="ESF255" s="11"/>
      <c r="ESG255" s="11"/>
      <c r="ESH255" s="11"/>
      <c r="ESI255" s="11"/>
      <c r="ESJ255" s="11"/>
      <c r="ESK255" s="11"/>
      <c r="ESL255" s="11"/>
      <c r="ESM255" s="11"/>
      <c r="ESN255" s="11"/>
      <c r="ESO255" s="11"/>
      <c r="ESP255" s="11"/>
      <c r="ESQ255" s="11"/>
      <c r="ESR255" s="11"/>
      <c r="ESS255" s="11"/>
      <c r="EST255" s="11"/>
      <c r="ESU255" s="11"/>
      <c r="ESV255" s="11"/>
      <c r="ESW255" s="11"/>
      <c r="ESX255" s="11"/>
      <c r="ESY255" s="11"/>
      <c r="ESZ255" s="11"/>
      <c r="ETA255" s="11"/>
      <c r="ETB255" s="11"/>
      <c r="ETC255" s="11"/>
      <c r="ETD255" s="11"/>
      <c r="ETE255" s="11"/>
      <c r="ETF255" s="11"/>
      <c r="ETG255" s="11"/>
      <c r="ETH255" s="11"/>
      <c r="ETI255" s="11"/>
      <c r="ETJ255" s="11"/>
      <c r="ETK255" s="11"/>
      <c r="ETL255" s="11"/>
      <c r="ETM255" s="11"/>
      <c r="ETN255" s="11"/>
      <c r="ETO255" s="11"/>
      <c r="ETP255" s="11"/>
      <c r="ETQ255" s="11"/>
      <c r="ETR255" s="11"/>
      <c r="ETS255" s="11"/>
      <c r="ETT255" s="11"/>
      <c r="ETU255" s="11"/>
      <c r="ETV255" s="11"/>
      <c r="ETW255" s="11"/>
      <c r="ETX255" s="11"/>
      <c r="ETY255" s="11"/>
      <c r="ETZ255" s="11"/>
      <c r="EUA255" s="11"/>
      <c r="EUB255" s="11"/>
      <c r="EUC255" s="11"/>
      <c r="EUD255" s="11"/>
      <c r="EUE255" s="11"/>
      <c r="EUF255" s="11"/>
      <c r="EUG255" s="11"/>
      <c r="EUH255" s="11"/>
      <c r="EUI255" s="11"/>
      <c r="EUJ255" s="11"/>
      <c r="EUK255" s="11"/>
      <c r="EUL255" s="11"/>
      <c r="EUM255" s="11"/>
      <c r="EUN255" s="11"/>
      <c r="EUO255" s="11"/>
      <c r="EUP255" s="11"/>
      <c r="EUQ255" s="11"/>
      <c r="EUR255" s="11"/>
      <c r="EUS255" s="11"/>
      <c r="EUT255" s="11"/>
      <c r="EUU255" s="11"/>
      <c r="EUV255" s="11"/>
      <c r="EUW255" s="11"/>
      <c r="EUX255" s="11"/>
      <c r="EUY255" s="11"/>
      <c r="EUZ255" s="11"/>
      <c r="EVA255" s="11"/>
      <c r="EVB255" s="11"/>
      <c r="EVC255" s="11"/>
      <c r="EVD255" s="11"/>
      <c r="EVE255" s="11"/>
      <c r="EVF255" s="11"/>
      <c r="EVG255" s="11"/>
      <c r="EVH255" s="11"/>
      <c r="EVI255" s="11"/>
      <c r="EVJ255" s="11"/>
      <c r="EVK255" s="11"/>
      <c r="EVL255" s="11"/>
      <c r="EVM255" s="11"/>
      <c r="EVN255" s="11"/>
      <c r="EVO255" s="11"/>
      <c r="EVP255" s="11"/>
      <c r="EVQ255" s="11"/>
      <c r="EVR255" s="11"/>
      <c r="EVS255" s="11"/>
      <c r="EVT255" s="11"/>
      <c r="EVU255" s="11"/>
      <c r="EVV255" s="11"/>
      <c r="EVW255" s="11"/>
      <c r="EVX255" s="11"/>
      <c r="EVY255" s="11"/>
      <c r="EVZ255" s="11"/>
      <c r="EWA255" s="11"/>
      <c r="EWB255" s="11"/>
      <c r="EWC255" s="11"/>
      <c r="EWD255" s="11"/>
      <c r="EWE255" s="11"/>
      <c r="EWF255" s="11"/>
      <c r="EWG255" s="11"/>
      <c r="EWH255" s="11"/>
      <c r="EWI255" s="11"/>
      <c r="EWJ255" s="11"/>
      <c r="EWK255" s="11"/>
      <c r="EWL255" s="11"/>
      <c r="EWM255" s="11"/>
      <c r="EWN255" s="11"/>
      <c r="EWO255" s="11"/>
      <c r="EWP255" s="11"/>
      <c r="EWQ255" s="11"/>
      <c r="EWR255" s="11"/>
      <c r="EWS255" s="11"/>
      <c r="EWT255" s="11"/>
      <c r="EWU255" s="11"/>
      <c r="EWV255" s="11"/>
      <c r="EWW255" s="11"/>
      <c r="EWX255" s="11"/>
      <c r="EWY255" s="11"/>
      <c r="EWZ255" s="11"/>
      <c r="EXA255" s="11"/>
      <c r="EXB255" s="11"/>
      <c r="EXC255" s="11"/>
      <c r="EXD255" s="11"/>
      <c r="EXE255" s="11"/>
      <c r="EXF255" s="11"/>
      <c r="EXG255" s="11"/>
      <c r="EXH255" s="11"/>
      <c r="EXI255" s="11"/>
      <c r="EXJ255" s="11"/>
      <c r="EXK255" s="11"/>
      <c r="EXL255" s="11"/>
      <c r="EXM255" s="11"/>
      <c r="EXN255" s="11"/>
      <c r="EXO255" s="11"/>
      <c r="EXP255" s="11"/>
      <c r="EXQ255" s="11"/>
      <c r="EXR255" s="11"/>
      <c r="EXS255" s="11"/>
      <c r="EXT255" s="11"/>
      <c r="EXU255" s="11"/>
      <c r="EXV255" s="11"/>
      <c r="EXW255" s="11"/>
      <c r="EXX255" s="11"/>
      <c r="EXY255" s="11"/>
      <c r="EXZ255" s="11"/>
      <c r="EYA255" s="11"/>
      <c r="EYB255" s="11"/>
      <c r="EYC255" s="11"/>
      <c r="EYD255" s="11"/>
      <c r="EYE255" s="11"/>
      <c r="EYF255" s="11"/>
      <c r="EYG255" s="11"/>
      <c r="EYH255" s="11"/>
      <c r="EYI255" s="11"/>
      <c r="EYJ255" s="11"/>
      <c r="EYK255" s="11"/>
      <c r="EYL255" s="11"/>
      <c r="EYM255" s="11"/>
      <c r="EYN255" s="11"/>
      <c r="EYO255" s="11"/>
      <c r="EYP255" s="11"/>
      <c r="EYQ255" s="11"/>
      <c r="EYR255" s="11"/>
      <c r="EYS255" s="11"/>
      <c r="EYT255" s="11"/>
      <c r="EYU255" s="11"/>
      <c r="EYV255" s="11"/>
      <c r="EYW255" s="11"/>
      <c r="EYX255" s="11"/>
      <c r="EYY255" s="11"/>
      <c r="EYZ255" s="11"/>
      <c r="EZA255" s="11"/>
      <c r="EZB255" s="11"/>
      <c r="EZC255" s="11"/>
      <c r="EZD255" s="11"/>
      <c r="EZE255" s="11"/>
      <c r="EZF255" s="11"/>
      <c r="EZG255" s="11"/>
      <c r="EZH255" s="11"/>
      <c r="EZI255" s="11"/>
      <c r="EZJ255" s="11"/>
      <c r="EZK255" s="11"/>
      <c r="EZL255" s="11"/>
      <c r="EZM255" s="11"/>
      <c r="EZN255" s="11"/>
      <c r="EZO255" s="11"/>
      <c r="EZP255" s="11"/>
      <c r="EZQ255" s="11"/>
      <c r="EZR255" s="11"/>
      <c r="EZS255" s="11"/>
      <c r="EZT255" s="11"/>
      <c r="EZU255" s="11"/>
      <c r="EZV255" s="11"/>
      <c r="EZW255" s="11"/>
      <c r="EZX255" s="11"/>
      <c r="EZY255" s="11"/>
      <c r="EZZ255" s="11"/>
      <c r="FAA255" s="11"/>
      <c r="FAB255" s="11"/>
      <c r="FAC255" s="11"/>
      <c r="FAD255" s="11"/>
      <c r="FAE255" s="11"/>
      <c r="FAF255" s="11"/>
      <c r="FAG255" s="11"/>
      <c r="FAH255" s="11"/>
      <c r="FAI255" s="11"/>
      <c r="FAJ255" s="11"/>
      <c r="FAK255" s="11"/>
      <c r="FAL255" s="11"/>
      <c r="FAM255" s="11"/>
      <c r="FAN255" s="11"/>
      <c r="FAO255" s="11"/>
      <c r="FAP255" s="11"/>
      <c r="FAQ255" s="11"/>
      <c r="FAR255" s="11"/>
      <c r="FAS255" s="11"/>
      <c r="FAT255" s="11"/>
      <c r="FAU255" s="11"/>
      <c r="FAV255" s="11"/>
      <c r="FAW255" s="11"/>
      <c r="FAX255" s="11"/>
      <c r="FAY255" s="11"/>
      <c r="FAZ255" s="11"/>
      <c r="FBA255" s="11"/>
      <c r="FBB255" s="11"/>
      <c r="FBC255" s="11"/>
      <c r="FBD255" s="11"/>
      <c r="FBE255" s="11"/>
      <c r="FBF255" s="11"/>
      <c r="FBG255" s="11"/>
      <c r="FBH255" s="11"/>
      <c r="FBI255" s="11"/>
      <c r="FBJ255" s="11"/>
      <c r="FBK255" s="11"/>
      <c r="FBL255" s="11"/>
      <c r="FBM255" s="11"/>
      <c r="FBN255" s="11"/>
      <c r="FBO255" s="11"/>
      <c r="FBP255" s="11"/>
      <c r="FBQ255" s="11"/>
      <c r="FBR255" s="11"/>
      <c r="FBS255" s="11"/>
      <c r="FBT255" s="11"/>
      <c r="FBU255" s="11"/>
      <c r="FBV255" s="11"/>
      <c r="FBW255" s="11"/>
      <c r="FBX255" s="11"/>
      <c r="FBY255" s="11"/>
      <c r="FBZ255" s="11"/>
      <c r="FCA255" s="11"/>
      <c r="FCB255" s="11"/>
      <c r="FCC255" s="11"/>
      <c r="FCD255" s="11"/>
      <c r="FCE255" s="11"/>
      <c r="FCF255" s="11"/>
      <c r="FCG255" s="11"/>
      <c r="FCH255" s="11"/>
      <c r="FCI255" s="11"/>
      <c r="FCJ255" s="11"/>
      <c r="FCK255" s="11"/>
      <c r="FCL255" s="11"/>
      <c r="FCM255" s="11"/>
      <c r="FCN255" s="11"/>
      <c r="FCO255" s="11"/>
      <c r="FCP255" s="11"/>
      <c r="FCQ255" s="11"/>
      <c r="FCR255" s="11"/>
      <c r="FCS255" s="11"/>
      <c r="FCT255" s="11"/>
      <c r="FCU255" s="11"/>
      <c r="FCV255" s="11"/>
      <c r="FCW255" s="11"/>
      <c r="FCX255" s="11"/>
      <c r="FCY255" s="11"/>
      <c r="FCZ255" s="11"/>
      <c r="FDA255" s="11"/>
      <c r="FDB255" s="11"/>
      <c r="FDC255" s="11"/>
      <c r="FDD255" s="11"/>
      <c r="FDE255" s="11"/>
      <c r="FDF255" s="11"/>
      <c r="FDG255" s="11"/>
      <c r="FDH255" s="11"/>
      <c r="FDI255" s="11"/>
      <c r="FDJ255" s="11"/>
      <c r="FDK255" s="11"/>
      <c r="FDL255" s="11"/>
      <c r="FDM255" s="11"/>
      <c r="FDN255" s="11"/>
      <c r="FDO255" s="11"/>
      <c r="FDP255" s="11"/>
      <c r="FDQ255" s="11"/>
      <c r="FDR255" s="11"/>
      <c r="FDS255" s="11"/>
      <c r="FDT255" s="11"/>
      <c r="FDU255" s="11"/>
      <c r="FDV255" s="11"/>
      <c r="FDW255" s="11"/>
      <c r="FDX255" s="11"/>
      <c r="FDY255" s="11"/>
      <c r="FDZ255" s="11"/>
      <c r="FEA255" s="11"/>
      <c r="FEB255" s="11"/>
      <c r="FEC255" s="11"/>
      <c r="FED255" s="11"/>
      <c r="FEE255" s="11"/>
      <c r="FEF255" s="11"/>
      <c r="FEG255" s="11"/>
      <c r="FEH255" s="11"/>
      <c r="FEI255" s="11"/>
      <c r="FEJ255" s="11"/>
      <c r="FEK255" s="11"/>
      <c r="FEL255" s="11"/>
      <c r="FEM255" s="11"/>
      <c r="FEN255" s="11"/>
      <c r="FEO255" s="11"/>
      <c r="FEP255" s="11"/>
      <c r="FEQ255" s="11"/>
      <c r="FER255" s="11"/>
      <c r="FES255" s="11"/>
      <c r="FET255" s="11"/>
      <c r="FEU255" s="11"/>
      <c r="FEV255" s="11"/>
      <c r="FEW255" s="11"/>
      <c r="FEX255" s="11"/>
      <c r="FEY255" s="11"/>
      <c r="FEZ255" s="11"/>
      <c r="FFA255" s="11"/>
      <c r="FFB255" s="11"/>
      <c r="FFC255" s="11"/>
      <c r="FFD255" s="11"/>
      <c r="FFE255" s="11"/>
      <c r="FFF255" s="11"/>
      <c r="FFG255" s="11"/>
      <c r="FFH255" s="11"/>
      <c r="FFI255" s="11"/>
      <c r="FFJ255" s="11"/>
      <c r="FFK255" s="11"/>
      <c r="FFL255" s="11"/>
      <c r="FFM255" s="11"/>
      <c r="FFN255" s="11"/>
      <c r="FFO255" s="11"/>
      <c r="FFP255" s="11"/>
      <c r="FFQ255" s="11"/>
      <c r="FFR255" s="11"/>
      <c r="FFS255" s="11"/>
      <c r="FFT255" s="11"/>
      <c r="FFU255" s="11"/>
      <c r="FFV255" s="11"/>
      <c r="FFW255" s="11"/>
      <c r="FFX255" s="11"/>
      <c r="FFY255" s="11"/>
      <c r="FFZ255" s="11"/>
      <c r="FGA255" s="11"/>
      <c r="FGB255" s="11"/>
      <c r="FGC255" s="11"/>
      <c r="FGD255" s="11"/>
      <c r="FGE255" s="11"/>
      <c r="FGF255" s="11"/>
      <c r="FGG255" s="11"/>
      <c r="FGH255" s="11"/>
      <c r="FGI255" s="11"/>
      <c r="FGJ255" s="11"/>
      <c r="FGK255" s="11"/>
      <c r="FGL255" s="11"/>
      <c r="FGM255" s="11"/>
      <c r="FGN255" s="11"/>
      <c r="FGO255" s="11"/>
      <c r="FGP255" s="11"/>
      <c r="FGQ255" s="11"/>
      <c r="FGR255" s="11"/>
      <c r="FGS255" s="11"/>
      <c r="FGT255" s="11"/>
      <c r="FGU255" s="11"/>
      <c r="FGV255" s="11"/>
      <c r="FGW255" s="11"/>
      <c r="FGX255" s="11"/>
      <c r="FGY255" s="11"/>
      <c r="FGZ255" s="11"/>
      <c r="FHA255" s="11"/>
      <c r="FHB255" s="11"/>
      <c r="FHC255" s="11"/>
      <c r="FHD255" s="11"/>
      <c r="FHE255" s="11"/>
      <c r="FHF255" s="11"/>
      <c r="FHG255" s="11"/>
      <c r="FHH255" s="11"/>
      <c r="FHI255" s="11"/>
      <c r="FHJ255" s="11"/>
      <c r="FHK255" s="11"/>
      <c r="FHL255" s="11"/>
      <c r="FHM255" s="11"/>
      <c r="FHN255" s="11"/>
      <c r="FHO255" s="11"/>
      <c r="FHP255" s="11"/>
      <c r="FHQ255" s="11"/>
      <c r="FHR255" s="11"/>
      <c r="FHS255" s="11"/>
      <c r="FHT255" s="11"/>
      <c r="FHU255" s="11"/>
      <c r="FHV255" s="11"/>
      <c r="FHW255" s="11"/>
      <c r="FHX255" s="11"/>
      <c r="FHY255" s="11"/>
      <c r="FHZ255" s="11"/>
      <c r="FIA255" s="11"/>
      <c r="FIB255" s="11"/>
      <c r="FIC255" s="11"/>
      <c r="FID255" s="11"/>
      <c r="FIE255" s="11"/>
      <c r="FIF255" s="11"/>
      <c r="FIG255" s="11"/>
      <c r="FIH255" s="11"/>
      <c r="FII255" s="11"/>
      <c r="FIJ255" s="11"/>
      <c r="FIK255" s="11"/>
      <c r="FIL255" s="11"/>
      <c r="FIM255" s="11"/>
      <c r="FIN255" s="11"/>
      <c r="FIO255" s="11"/>
      <c r="FIP255" s="11"/>
      <c r="FIQ255" s="11"/>
      <c r="FIR255" s="11"/>
      <c r="FIS255" s="11"/>
      <c r="FIT255" s="11"/>
      <c r="FIU255" s="11"/>
      <c r="FIV255" s="11"/>
      <c r="FIW255" s="11"/>
      <c r="FIX255" s="11"/>
      <c r="FIY255" s="11"/>
      <c r="FIZ255" s="11"/>
      <c r="FJA255" s="11"/>
      <c r="FJB255" s="11"/>
      <c r="FJC255" s="11"/>
      <c r="FJD255" s="11"/>
      <c r="FJE255" s="11"/>
      <c r="FJF255" s="11"/>
      <c r="FJG255" s="11"/>
      <c r="FJH255" s="11"/>
      <c r="FJI255" s="11"/>
      <c r="FJJ255" s="11"/>
      <c r="FJK255" s="11"/>
      <c r="FJL255" s="11"/>
      <c r="FJM255" s="11"/>
      <c r="FJN255" s="11"/>
      <c r="FJO255" s="11"/>
      <c r="FJP255" s="11"/>
      <c r="FJQ255" s="11"/>
      <c r="FJR255" s="11"/>
      <c r="FJS255" s="11"/>
      <c r="FJT255" s="11"/>
      <c r="FJU255" s="11"/>
      <c r="FJV255" s="11"/>
      <c r="FJW255" s="11"/>
      <c r="FJX255" s="11"/>
      <c r="FJY255" s="11"/>
      <c r="FJZ255" s="11"/>
      <c r="FKA255" s="11"/>
      <c r="FKB255" s="11"/>
      <c r="FKC255" s="11"/>
      <c r="FKD255" s="11"/>
      <c r="FKE255" s="11"/>
      <c r="FKF255" s="11"/>
      <c r="FKG255" s="11"/>
      <c r="FKH255" s="11"/>
      <c r="FKI255" s="11"/>
      <c r="FKJ255" s="11"/>
      <c r="FKK255" s="11"/>
      <c r="FKL255" s="11"/>
      <c r="FKM255" s="11"/>
      <c r="FKN255" s="11"/>
      <c r="FKO255" s="11"/>
      <c r="FKP255" s="11"/>
      <c r="FKQ255" s="11"/>
      <c r="FKR255" s="11"/>
      <c r="FKS255" s="11"/>
      <c r="FKT255" s="11"/>
      <c r="FKU255" s="11"/>
      <c r="FKV255" s="11"/>
      <c r="FKW255" s="11"/>
      <c r="FKX255" s="11"/>
      <c r="FKY255" s="11"/>
      <c r="FKZ255" s="11"/>
      <c r="FLA255" s="11"/>
      <c r="FLB255" s="11"/>
      <c r="FLC255" s="11"/>
      <c r="FLD255" s="11"/>
      <c r="FLE255" s="11"/>
      <c r="FLF255" s="11"/>
      <c r="FLG255" s="11"/>
      <c r="FLH255" s="11"/>
      <c r="FLI255" s="11"/>
      <c r="FLJ255" s="11"/>
      <c r="FLK255" s="11"/>
      <c r="FLL255" s="11"/>
      <c r="FLM255" s="11"/>
      <c r="FLN255" s="11"/>
      <c r="FLO255" s="11"/>
      <c r="FLP255" s="11"/>
      <c r="FLQ255" s="11"/>
      <c r="FLR255" s="11"/>
      <c r="FLS255" s="11"/>
      <c r="FLT255" s="11"/>
      <c r="FLU255" s="11"/>
      <c r="FLV255" s="11"/>
      <c r="FLW255" s="11"/>
      <c r="FLX255" s="11"/>
      <c r="FLY255" s="11"/>
      <c r="FLZ255" s="11"/>
      <c r="FMA255" s="11"/>
      <c r="FMB255" s="11"/>
      <c r="FMC255" s="11"/>
      <c r="FMD255" s="11"/>
      <c r="FME255" s="11"/>
      <c r="FMF255" s="11"/>
      <c r="FMG255" s="11"/>
      <c r="FMH255" s="11"/>
      <c r="FMI255" s="11"/>
      <c r="FMJ255" s="11"/>
      <c r="FMK255" s="11"/>
      <c r="FML255" s="11"/>
      <c r="FMM255" s="11"/>
      <c r="FMN255" s="11"/>
      <c r="FMO255" s="11"/>
      <c r="FMP255" s="11"/>
      <c r="FMQ255" s="11"/>
      <c r="FMR255" s="11"/>
      <c r="FMS255" s="11"/>
      <c r="FMT255" s="11"/>
      <c r="FMU255" s="11"/>
      <c r="FMV255" s="11"/>
      <c r="FMW255" s="11"/>
      <c r="FMX255" s="11"/>
      <c r="FMY255" s="11"/>
      <c r="FMZ255" s="11"/>
      <c r="FNA255" s="11"/>
      <c r="FNB255" s="11"/>
      <c r="FNC255" s="11"/>
      <c r="FND255" s="11"/>
      <c r="FNE255" s="11"/>
      <c r="FNF255" s="11"/>
      <c r="FNG255" s="11"/>
      <c r="FNH255" s="11"/>
      <c r="FNI255" s="11"/>
      <c r="FNJ255" s="11"/>
      <c r="FNK255" s="11"/>
      <c r="FNL255" s="11"/>
      <c r="FNM255" s="11"/>
      <c r="FNN255" s="11"/>
      <c r="FNO255" s="11"/>
      <c r="FNP255" s="11"/>
      <c r="FNQ255" s="11"/>
      <c r="FNR255" s="11"/>
      <c r="FNS255" s="11"/>
      <c r="FNT255" s="11"/>
      <c r="FNU255" s="11"/>
      <c r="FNV255" s="11"/>
      <c r="FNW255" s="11"/>
      <c r="FNX255" s="11"/>
      <c r="FNY255" s="11"/>
      <c r="FNZ255" s="11"/>
      <c r="FOA255" s="11"/>
      <c r="FOB255" s="11"/>
      <c r="FOC255" s="11"/>
      <c r="FOD255" s="11"/>
      <c r="FOE255" s="11"/>
      <c r="FOF255" s="11"/>
      <c r="FOG255" s="11"/>
      <c r="FOH255" s="11"/>
      <c r="FOI255" s="11"/>
      <c r="FOJ255" s="11"/>
      <c r="FOK255" s="11"/>
      <c r="FOL255" s="11"/>
      <c r="FOM255" s="11"/>
      <c r="FON255" s="11"/>
      <c r="FOO255" s="11"/>
      <c r="FOP255" s="11"/>
      <c r="FOQ255" s="11"/>
      <c r="FOR255" s="11"/>
      <c r="FOS255" s="11"/>
      <c r="FOT255" s="11"/>
      <c r="FOU255" s="11"/>
      <c r="FOV255" s="11"/>
      <c r="FOW255" s="11"/>
      <c r="FOX255" s="11"/>
      <c r="FOY255" s="11"/>
      <c r="FOZ255" s="11"/>
      <c r="FPA255" s="11"/>
      <c r="FPB255" s="11"/>
      <c r="FPC255" s="11"/>
      <c r="FPD255" s="11"/>
      <c r="FPE255" s="11"/>
      <c r="FPF255" s="11"/>
      <c r="FPG255" s="11"/>
      <c r="FPH255" s="11"/>
      <c r="FPI255" s="11"/>
      <c r="FPJ255" s="11"/>
      <c r="FPK255" s="11"/>
      <c r="FPL255" s="11"/>
      <c r="FPM255" s="11"/>
      <c r="FPN255" s="11"/>
      <c r="FPO255" s="11"/>
      <c r="FPP255" s="11"/>
      <c r="FPQ255" s="11"/>
      <c r="FPR255" s="11"/>
      <c r="FPS255" s="11"/>
      <c r="FPT255" s="11"/>
      <c r="FPU255" s="11"/>
      <c r="FPV255" s="11"/>
      <c r="FPW255" s="11"/>
      <c r="FPX255" s="11"/>
      <c r="FPY255" s="11"/>
      <c r="FPZ255" s="11"/>
      <c r="FQA255" s="11"/>
      <c r="FQB255" s="11"/>
      <c r="FQC255" s="11"/>
      <c r="FQD255" s="11"/>
      <c r="FQE255" s="11"/>
      <c r="FQF255" s="11"/>
      <c r="FQG255" s="11"/>
      <c r="FQH255" s="11"/>
      <c r="FQI255" s="11"/>
      <c r="FQJ255" s="11"/>
      <c r="FQK255" s="11"/>
      <c r="FQL255" s="11"/>
      <c r="FQM255" s="11"/>
      <c r="FQN255" s="11"/>
      <c r="FQO255" s="11"/>
      <c r="FQP255" s="11"/>
      <c r="FQQ255" s="11"/>
      <c r="FQR255" s="11"/>
      <c r="FQS255" s="11"/>
      <c r="FQT255" s="11"/>
      <c r="FQU255" s="11"/>
      <c r="FQV255" s="11"/>
      <c r="FQW255" s="11"/>
      <c r="FQX255" s="11"/>
      <c r="FQY255" s="11"/>
      <c r="FQZ255" s="11"/>
      <c r="FRA255" s="11"/>
      <c r="FRB255" s="11"/>
      <c r="FRC255" s="11"/>
      <c r="FRD255" s="11"/>
      <c r="FRE255" s="11"/>
      <c r="FRF255" s="11"/>
      <c r="FRG255" s="11"/>
      <c r="FRH255" s="11"/>
      <c r="FRI255" s="11"/>
      <c r="FRJ255" s="11"/>
      <c r="FRK255" s="11"/>
      <c r="FRL255" s="11"/>
      <c r="FRM255" s="11"/>
      <c r="FRN255" s="11"/>
      <c r="FRO255" s="11"/>
      <c r="FRP255" s="11"/>
      <c r="FRQ255" s="11"/>
      <c r="FRR255" s="11"/>
      <c r="FRS255" s="11"/>
      <c r="FRT255" s="11"/>
      <c r="FRU255" s="11"/>
      <c r="FRV255" s="11"/>
      <c r="FRW255" s="11"/>
      <c r="FRX255" s="11"/>
      <c r="FRY255" s="11"/>
      <c r="FRZ255" s="11"/>
      <c r="FSA255" s="11"/>
      <c r="FSB255" s="11"/>
      <c r="FSC255" s="11"/>
      <c r="FSD255" s="11"/>
      <c r="FSE255" s="11"/>
      <c r="FSF255" s="11"/>
      <c r="FSG255" s="11"/>
      <c r="FSH255" s="11"/>
      <c r="FSI255" s="11"/>
      <c r="FSJ255" s="11"/>
      <c r="FSK255" s="11"/>
      <c r="FSL255" s="11"/>
      <c r="FSM255" s="11"/>
      <c r="FSN255" s="11"/>
      <c r="FSO255" s="11"/>
      <c r="FSP255" s="11"/>
      <c r="FSQ255" s="11"/>
      <c r="FSR255" s="11"/>
      <c r="FSS255" s="11"/>
      <c r="FST255" s="11"/>
      <c r="FSU255" s="11"/>
      <c r="FSV255" s="11"/>
      <c r="FSW255" s="11"/>
      <c r="FSX255" s="11"/>
      <c r="FSY255" s="11"/>
      <c r="FSZ255" s="11"/>
      <c r="FTA255" s="11"/>
      <c r="FTB255" s="11"/>
      <c r="FTC255" s="11"/>
      <c r="FTD255" s="11"/>
      <c r="FTE255" s="11"/>
      <c r="FTF255" s="11"/>
      <c r="FTG255" s="11"/>
      <c r="FTH255" s="11"/>
      <c r="FTI255" s="11"/>
      <c r="FTJ255" s="11"/>
      <c r="FTK255" s="11"/>
      <c r="FTL255" s="11"/>
      <c r="FTM255" s="11"/>
      <c r="FTN255" s="11"/>
      <c r="FTO255" s="11"/>
      <c r="FTP255" s="11"/>
      <c r="FTQ255" s="11"/>
      <c r="FTR255" s="11"/>
      <c r="FTS255" s="11"/>
      <c r="FTT255" s="11"/>
      <c r="FTU255" s="11"/>
      <c r="FTV255" s="11"/>
      <c r="FTW255" s="11"/>
      <c r="FTX255" s="11"/>
      <c r="FTY255" s="11"/>
      <c r="FTZ255" s="11"/>
      <c r="FUA255" s="11"/>
      <c r="FUB255" s="11"/>
      <c r="FUC255" s="11"/>
      <c r="FUD255" s="11"/>
      <c r="FUE255" s="11"/>
      <c r="FUF255" s="11"/>
      <c r="FUG255" s="11"/>
      <c r="FUH255" s="11"/>
      <c r="FUI255" s="11"/>
      <c r="FUJ255" s="11"/>
      <c r="FUK255" s="11"/>
      <c r="FUL255" s="11"/>
      <c r="FUM255" s="11"/>
      <c r="FUN255" s="11"/>
      <c r="FUO255" s="11"/>
      <c r="FUP255" s="11"/>
      <c r="FUQ255" s="11"/>
      <c r="FUR255" s="11"/>
      <c r="FUS255" s="11"/>
      <c r="FUT255" s="11"/>
      <c r="FUU255" s="11"/>
      <c r="FUV255" s="11"/>
      <c r="FUW255" s="11"/>
      <c r="FUX255" s="11"/>
      <c r="FUY255" s="11"/>
      <c r="FUZ255" s="11"/>
      <c r="FVA255" s="11"/>
      <c r="FVB255" s="11"/>
      <c r="FVC255" s="11"/>
      <c r="FVD255" s="11"/>
      <c r="FVE255" s="11"/>
      <c r="FVF255" s="11"/>
      <c r="FVG255" s="11"/>
      <c r="FVH255" s="11"/>
      <c r="FVI255" s="11"/>
      <c r="FVJ255" s="11"/>
      <c r="FVK255" s="11"/>
      <c r="FVL255" s="11"/>
      <c r="FVM255" s="11"/>
      <c r="FVN255" s="11"/>
      <c r="FVO255" s="11"/>
      <c r="FVP255" s="11"/>
      <c r="FVQ255" s="11"/>
      <c r="FVR255" s="11"/>
      <c r="FVS255" s="11"/>
      <c r="FVT255" s="11"/>
      <c r="FVU255" s="11"/>
      <c r="FVV255" s="11"/>
      <c r="FVW255" s="11"/>
      <c r="FVX255" s="11"/>
      <c r="FVY255" s="11"/>
      <c r="FVZ255" s="11"/>
      <c r="FWA255" s="11"/>
      <c r="FWB255" s="11"/>
      <c r="FWC255" s="11"/>
      <c r="FWD255" s="11"/>
      <c r="FWE255" s="11"/>
      <c r="FWF255" s="11"/>
      <c r="FWG255" s="11"/>
      <c r="FWH255" s="11"/>
      <c r="FWI255" s="11"/>
      <c r="FWJ255" s="11"/>
      <c r="FWK255" s="11"/>
      <c r="FWL255" s="11"/>
      <c r="FWM255" s="11"/>
      <c r="FWN255" s="11"/>
      <c r="FWO255" s="11"/>
      <c r="FWP255" s="11"/>
      <c r="FWQ255" s="11"/>
      <c r="FWR255" s="11"/>
      <c r="FWS255" s="11"/>
      <c r="FWT255" s="11"/>
      <c r="FWU255" s="11"/>
      <c r="FWV255" s="11"/>
      <c r="FWW255" s="11"/>
      <c r="FWX255" s="11"/>
      <c r="FWY255" s="11"/>
      <c r="FWZ255" s="11"/>
      <c r="FXA255" s="11"/>
      <c r="FXB255" s="11"/>
      <c r="FXC255" s="11"/>
      <c r="FXD255" s="11"/>
      <c r="FXE255" s="11"/>
      <c r="FXF255" s="11"/>
      <c r="FXG255" s="11"/>
      <c r="FXH255" s="11"/>
      <c r="FXI255" s="11"/>
      <c r="FXJ255" s="11"/>
      <c r="FXK255" s="11"/>
      <c r="FXL255" s="11"/>
      <c r="FXM255" s="11"/>
      <c r="FXN255" s="11"/>
      <c r="FXO255" s="11"/>
      <c r="FXP255" s="11"/>
      <c r="FXQ255" s="11"/>
      <c r="FXR255" s="11"/>
      <c r="FXS255" s="11"/>
      <c r="FXT255" s="11"/>
      <c r="FXU255" s="11"/>
      <c r="FXV255" s="11"/>
      <c r="FXW255" s="11"/>
      <c r="FXX255" s="11"/>
      <c r="FXY255" s="11"/>
      <c r="FXZ255" s="11"/>
      <c r="FYA255" s="11"/>
      <c r="FYB255" s="11"/>
      <c r="FYC255" s="11"/>
      <c r="FYD255" s="11"/>
      <c r="FYE255" s="11"/>
      <c r="FYF255" s="11"/>
      <c r="FYG255" s="11"/>
      <c r="FYH255" s="11"/>
      <c r="FYI255" s="11"/>
      <c r="FYJ255" s="11"/>
      <c r="FYK255" s="11"/>
      <c r="FYL255" s="11"/>
      <c r="FYM255" s="11"/>
      <c r="FYN255" s="11"/>
      <c r="FYO255" s="11"/>
      <c r="FYP255" s="11"/>
      <c r="FYQ255" s="11"/>
      <c r="FYR255" s="11"/>
      <c r="FYS255" s="11"/>
      <c r="FYT255" s="11"/>
      <c r="FYU255" s="11"/>
      <c r="FYV255" s="11"/>
      <c r="FYW255" s="11"/>
      <c r="FYX255" s="11"/>
      <c r="FYY255" s="11"/>
      <c r="FYZ255" s="11"/>
      <c r="FZA255" s="11"/>
      <c r="FZB255" s="11"/>
      <c r="FZC255" s="11"/>
      <c r="FZD255" s="11"/>
      <c r="FZE255" s="11"/>
      <c r="FZF255" s="11"/>
      <c r="FZG255" s="11"/>
      <c r="FZH255" s="11"/>
      <c r="FZI255" s="11"/>
      <c r="FZJ255" s="11"/>
      <c r="FZK255" s="11"/>
      <c r="FZL255" s="11"/>
      <c r="FZM255" s="11"/>
      <c r="FZN255" s="11"/>
      <c r="FZO255" s="11"/>
      <c r="FZP255" s="11"/>
      <c r="FZQ255" s="11"/>
      <c r="FZR255" s="11"/>
      <c r="FZS255" s="11"/>
      <c r="FZT255" s="11"/>
      <c r="FZU255" s="11"/>
      <c r="FZV255" s="11"/>
      <c r="FZW255" s="11"/>
      <c r="FZX255" s="11"/>
      <c r="FZY255" s="11"/>
      <c r="FZZ255" s="11"/>
      <c r="GAA255" s="11"/>
      <c r="GAB255" s="11"/>
      <c r="GAC255" s="11"/>
      <c r="GAD255" s="11"/>
      <c r="GAE255" s="11"/>
      <c r="GAF255" s="11"/>
      <c r="GAG255" s="11"/>
      <c r="GAH255" s="11"/>
      <c r="GAI255" s="11"/>
      <c r="GAJ255" s="11"/>
      <c r="GAK255" s="11"/>
      <c r="GAL255" s="11"/>
      <c r="GAM255" s="11"/>
      <c r="GAN255" s="11"/>
      <c r="GAO255" s="11"/>
      <c r="GAP255" s="11"/>
      <c r="GAQ255" s="11"/>
      <c r="GAR255" s="11"/>
      <c r="GAS255" s="11"/>
      <c r="GAT255" s="11"/>
      <c r="GAU255" s="11"/>
      <c r="GAV255" s="11"/>
      <c r="GAW255" s="11"/>
      <c r="GAX255" s="11"/>
      <c r="GAY255" s="11"/>
      <c r="GAZ255" s="11"/>
      <c r="GBA255" s="11"/>
      <c r="GBB255" s="11"/>
      <c r="GBC255" s="11"/>
      <c r="GBD255" s="11"/>
      <c r="GBE255" s="11"/>
      <c r="GBF255" s="11"/>
      <c r="GBG255" s="11"/>
      <c r="GBH255" s="11"/>
      <c r="GBI255" s="11"/>
      <c r="GBJ255" s="11"/>
      <c r="GBK255" s="11"/>
      <c r="GBL255" s="11"/>
      <c r="GBM255" s="11"/>
      <c r="GBN255" s="11"/>
      <c r="GBO255" s="11"/>
      <c r="GBP255" s="11"/>
      <c r="GBQ255" s="11"/>
      <c r="GBR255" s="11"/>
      <c r="GBS255" s="11"/>
      <c r="GBT255" s="11"/>
      <c r="GBU255" s="11"/>
      <c r="GBV255" s="11"/>
      <c r="GBW255" s="11"/>
      <c r="GBX255" s="11"/>
      <c r="GBY255" s="11"/>
      <c r="GBZ255" s="11"/>
      <c r="GCA255" s="11"/>
      <c r="GCB255" s="11"/>
      <c r="GCC255" s="11"/>
      <c r="GCD255" s="11"/>
      <c r="GCE255" s="11"/>
      <c r="GCF255" s="11"/>
      <c r="GCG255" s="11"/>
      <c r="GCH255" s="11"/>
      <c r="GCI255" s="11"/>
      <c r="GCJ255" s="11"/>
      <c r="GCK255" s="11"/>
      <c r="GCL255" s="11"/>
      <c r="GCM255" s="11"/>
      <c r="GCN255" s="11"/>
      <c r="GCO255" s="11"/>
      <c r="GCP255" s="11"/>
      <c r="GCQ255" s="11"/>
      <c r="GCR255" s="11"/>
      <c r="GCS255" s="11"/>
      <c r="GCT255" s="11"/>
      <c r="GCU255" s="11"/>
      <c r="GCV255" s="11"/>
      <c r="GCW255" s="11"/>
      <c r="GCX255" s="11"/>
      <c r="GCY255" s="11"/>
      <c r="GCZ255" s="11"/>
      <c r="GDA255" s="11"/>
      <c r="GDB255" s="11"/>
      <c r="GDC255" s="11"/>
      <c r="GDD255" s="11"/>
      <c r="GDE255" s="11"/>
      <c r="GDF255" s="11"/>
      <c r="GDG255" s="11"/>
      <c r="GDH255" s="11"/>
      <c r="GDI255" s="11"/>
      <c r="GDJ255" s="11"/>
      <c r="GDK255" s="11"/>
      <c r="GDL255" s="11"/>
      <c r="GDM255" s="11"/>
      <c r="GDN255" s="11"/>
      <c r="GDO255" s="11"/>
      <c r="GDP255" s="11"/>
      <c r="GDQ255" s="11"/>
      <c r="GDR255" s="11"/>
      <c r="GDS255" s="11"/>
      <c r="GDT255" s="11"/>
      <c r="GDU255" s="11"/>
      <c r="GDV255" s="11"/>
      <c r="GDW255" s="11"/>
      <c r="GDX255" s="11"/>
      <c r="GDY255" s="11"/>
      <c r="GDZ255" s="11"/>
      <c r="GEA255" s="11"/>
      <c r="GEB255" s="11"/>
      <c r="GEC255" s="11"/>
      <c r="GED255" s="11"/>
      <c r="GEE255" s="11"/>
      <c r="GEF255" s="11"/>
      <c r="GEG255" s="11"/>
      <c r="GEH255" s="11"/>
      <c r="GEI255" s="11"/>
      <c r="GEJ255" s="11"/>
      <c r="GEK255" s="11"/>
      <c r="GEL255" s="11"/>
      <c r="GEM255" s="11"/>
      <c r="GEN255" s="11"/>
      <c r="GEO255" s="11"/>
      <c r="GEP255" s="11"/>
      <c r="GEQ255" s="11"/>
      <c r="GER255" s="11"/>
      <c r="GES255" s="11"/>
      <c r="GET255" s="11"/>
      <c r="GEU255" s="11"/>
      <c r="GEV255" s="11"/>
      <c r="GEW255" s="11"/>
      <c r="GEX255" s="11"/>
      <c r="GEY255" s="11"/>
      <c r="GEZ255" s="11"/>
      <c r="GFA255" s="11"/>
      <c r="GFB255" s="11"/>
      <c r="GFC255" s="11"/>
      <c r="GFD255" s="11"/>
      <c r="GFE255" s="11"/>
      <c r="GFF255" s="11"/>
      <c r="GFG255" s="11"/>
      <c r="GFH255" s="11"/>
      <c r="GFI255" s="11"/>
      <c r="GFJ255" s="11"/>
      <c r="GFK255" s="11"/>
      <c r="GFL255" s="11"/>
      <c r="GFM255" s="11"/>
      <c r="GFN255" s="11"/>
      <c r="GFO255" s="11"/>
      <c r="GFP255" s="11"/>
      <c r="GFQ255" s="11"/>
      <c r="GFR255" s="11"/>
      <c r="GFS255" s="11"/>
      <c r="GFT255" s="11"/>
      <c r="GFU255" s="11"/>
      <c r="GFV255" s="11"/>
      <c r="GFW255" s="11"/>
      <c r="GFX255" s="11"/>
      <c r="GFY255" s="11"/>
      <c r="GFZ255" s="11"/>
      <c r="GGA255" s="11"/>
      <c r="GGB255" s="11"/>
      <c r="GGC255" s="11"/>
      <c r="GGD255" s="11"/>
      <c r="GGE255" s="11"/>
      <c r="GGF255" s="11"/>
      <c r="GGG255" s="11"/>
      <c r="GGH255" s="11"/>
      <c r="GGI255" s="11"/>
      <c r="GGJ255" s="11"/>
      <c r="GGK255" s="11"/>
      <c r="GGL255" s="11"/>
      <c r="GGM255" s="11"/>
      <c r="GGN255" s="11"/>
      <c r="GGO255" s="11"/>
      <c r="GGP255" s="11"/>
      <c r="GGQ255" s="11"/>
      <c r="GGR255" s="11"/>
      <c r="GGS255" s="11"/>
      <c r="GGT255" s="11"/>
      <c r="GGU255" s="11"/>
      <c r="GGV255" s="11"/>
      <c r="GGW255" s="11"/>
      <c r="GGX255" s="11"/>
      <c r="GGY255" s="11"/>
      <c r="GGZ255" s="11"/>
      <c r="GHA255" s="11"/>
      <c r="GHB255" s="11"/>
      <c r="GHC255" s="11"/>
      <c r="GHD255" s="11"/>
      <c r="GHE255" s="11"/>
      <c r="GHF255" s="11"/>
      <c r="GHG255" s="11"/>
      <c r="GHH255" s="11"/>
      <c r="GHI255" s="11"/>
      <c r="GHJ255" s="11"/>
      <c r="GHK255" s="11"/>
      <c r="GHL255" s="11"/>
      <c r="GHM255" s="11"/>
      <c r="GHN255" s="11"/>
      <c r="GHO255" s="11"/>
      <c r="GHP255" s="11"/>
      <c r="GHQ255" s="11"/>
      <c r="GHR255" s="11"/>
      <c r="GHS255" s="11"/>
      <c r="GHT255" s="11"/>
      <c r="GHU255" s="11"/>
      <c r="GHV255" s="11"/>
      <c r="GHW255" s="11"/>
      <c r="GHX255" s="11"/>
      <c r="GHY255" s="11"/>
      <c r="GHZ255" s="11"/>
      <c r="GIA255" s="11"/>
      <c r="GIB255" s="11"/>
      <c r="GIC255" s="11"/>
      <c r="GID255" s="11"/>
      <c r="GIE255" s="11"/>
      <c r="GIF255" s="11"/>
      <c r="GIG255" s="11"/>
      <c r="GIH255" s="11"/>
      <c r="GII255" s="11"/>
      <c r="GIJ255" s="11"/>
      <c r="GIK255" s="11"/>
      <c r="GIL255" s="11"/>
      <c r="GIM255" s="11"/>
      <c r="GIN255" s="11"/>
      <c r="GIO255" s="11"/>
      <c r="GIP255" s="11"/>
      <c r="GIQ255" s="11"/>
      <c r="GIR255" s="11"/>
      <c r="GIS255" s="11"/>
      <c r="GIT255" s="11"/>
      <c r="GIU255" s="11"/>
      <c r="GIV255" s="11"/>
      <c r="GIW255" s="11"/>
      <c r="GIX255" s="11"/>
      <c r="GIY255" s="11"/>
      <c r="GIZ255" s="11"/>
      <c r="GJA255" s="11"/>
      <c r="GJB255" s="11"/>
      <c r="GJC255" s="11"/>
      <c r="GJD255" s="11"/>
      <c r="GJE255" s="11"/>
      <c r="GJF255" s="11"/>
      <c r="GJG255" s="11"/>
      <c r="GJH255" s="11"/>
      <c r="GJI255" s="11"/>
      <c r="GJJ255" s="11"/>
      <c r="GJK255" s="11"/>
      <c r="GJL255" s="11"/>
      <c r="GJM255" s="11"/>
      <c r="GJN255" s="11"/>
      <c r="GJO255" s="11"/>
      <c r="GJP255" s="11"/>
      <c r="GJQ255" s="11"/>
      <c r="GJR255" s="11"/>
      <c r="GJS255" s="11"/>
      <c r="GJT255" s="11"/>
      <c r="GJU255" s="11"/>
      <c r="GJV255" s="11"/>
      <c r="GJW255" s="11"/>
      <c r="GJX255" s="11"/>
      <c r="GJY255" s="11"/>
      <c r="GJZ255" s="11"/>
      <c r="GKA255" s="11"/>
      <c r="GKB255" s="11"/>
      <c r="GKC255" s="11"/>
      <c r="GKD255" s="11"/>
      <c r="GKE255" s="11"/>
      <c r="GKF255" s="11"/>
      <c r="GKG255" s="11"/>
      <c r="GKH255" s="11"/>
      <c r="GKI255" s="11"/>
      <c r="GKJ255" s="11"/>
      <c r="GKK255" s="11"/>
      <c r="GKL255" s="11"/>
      <c r="GKM255" s="11"/>
      <c r="GKN255" s="11"/>
      <c r="GKO255" s="11"/>
      <c r="GKP255" s="11"/>
      <c r="GKQ255" s="11"/>
      <c r="GKR255" s="11"/>
      <c r="GKS255" s="11"/>
      <c r="GKT255" s="11"/>
      <c r="GKU255" s="11"/>
      <c r="GKV255" s="11"/>
      <c r="GKW255" s="11"/>
      <c r="GKX255" s="11"/>
      <c r="GKY255" s="11"/>
      <c r="GKZ255" s="11"/>
      <c r="GLA255" s="11"/>
      <c r="GLB255" s="11"/>
      <c r="GLC255" s="11"/>
      <c r="GLD255" s="11"/>
      <c r="GLE255" s="11"/>
      <c r="GLF255" s="11"/>
      <c r="GLG255" s="11"/>
      <c r="GLH255" s="11"/>
      <c r="GLI255" s="11"/>
      <c r="GLJ255" s="11"/>
      <c r="GLK255" s="11"/>
      <c r="GLL255" s="11"/>
      <c r="GLM255" s="11"/>
      <c r="GLN255" s="11"/>
      <c r="GLO255" s="11"/>
      <c r="GLP255" s="11"/>
      <c r="GLQ255" s="11"/>
      <c r="GLR255" s="11"/>
      <c r="GLS255" s="11"/>
      <c r="GLT255" s="11"/>
      <c r="GLU255" s="11"/>
      <c r="GLV255" s="11"/>
      <c r="GLW255" s="11"/>
      <c r="GLX255" s="11"/>
      <c r="GLY255" s="11"/>
      <c r="GLZ255" s="11"/>
      <c r="GMA255" s="11"/>
      <c r="GMB255" s="11"/>
      <c r="GMC255" s="11"/>
      <c r="GMD255" s="11"/>
      <c r="GME255" s="11"/>
      <c r="GMF255" s="11"/>
      <c r="GMG255" s="11"/>
      <c r="GMH255" s="11"/>
      <c r="GMI255" s="11"/>
      <c r="GMJ255" s="11"/>
      <c r="GMK255" s="11"/>
      <c r="GML255" s="11"/>
      <c r="GMM255" s="11"/>
      <c r="GMN255" s="11"/>
      <c r="GMO255" s="11"/>
      <c r="GMP255" s="11"/>
      <c r="GMQ255" s="11"/>
      <c r="GMR255" s="11"/>
      <c r="GMS255" s="11"/>
      <c r="GMT255" s="11"/>
      <c r="GMU255" s="11"/>
      <c r="GMV255" s="11"/>
      <c r="GMW255" s="11"/>
      <c r="GMX255" s="11"/>
      <c r="GMY255" s="11"/>
      <c r="GMZ255" s="11"/>
      <c r="GNA255" s="11"/>
      <c r="GNB255" s="11"/>
      <c r="GNC255" s="11"/>
      <c r="GND255" s="11"/>
      <c r="GNE255" s="11"/>
      <c r="GNF255" s="11"/>
      <c r="GNG255" s="11"/>
      <c r="GNH255" s="11"/>
      <c r="GNI255" s="11"/>
      <c r="GNJ255" s="11"/>
      <c r="GNK255" s="11"/>
      <c r="GNL255" s="11"/>
      <c r="GNM255" s="11"/>
      <c r="GNN255" s="11"/>
      <c r="GNO255" s="11"/>
      <c r="GNP255" s="11"/>
      <c r="GNQ255" s="11"/>
      <c r="GNR255" s="11"/>
      <c r="GNS255" s="11"/>
      <c r="GNT255" s="11"/>
      <c r="GNU255" s="11"/>
      <c r="GNV255" s="11"/>
      <c r="GNW255" s="11"/>
      <c r="GNX255" s="11"/>
      <c r="GNY255" s="11"/>
      <c r="GNZ255" s="11"/>
      <c r="GOA255" s="11"/>
      <c r="GOB255" s="11"/>
      <c r="GOC255" s="11"/>
      <c r="GOD255" s="11"/>
      <c r="GOE255" s="11"/>
      <c r="GOF255" s="11"/>
      <c r="GOG255" s="11"/>
      <c r="GOH255" s="11"/>
      <c r="GOI255" s="11"/>
      <c r="GOJ255" s="11"/>
      <c r="GOK255" s="11"/>
      <c r="GOL255" s="11"/>
      <c r="GOM255" s="11"/>
      <c r="GON255" s="11"/>
      <c r="GOO255" s="11"/>
      <c r="GOP255" s="11"/>
      <c r="GOQ255" s="11"/>
      <c r="GOR255" s="11"/>
      <c r="GOS255" s="11"/>
      <c r="GOT255" s="11"/>
      <c r="GOU255" s="11"/>
      <c r="GOV255" s="11"/>
      <c r="GOW255" s="11"/>
      <c r="GOX255" s="11"/>
      <c r="GOY255" s="11"/>
      <c r="GOZ255" s="11"/>
      <c r="GPA255" s="11"/>
      <c r="GPB255" s="11"/>
      <c r="GPC255" s="11"/>
      <c r="GPD255" s="11"/>
      <c r="GPE255" s="11"/>
      <c r="GPF255" s="11"/>
      <c r="GPG255" s="11"/>
      <c r="GPH255" s="11"/>
      <c r="GPI255" s="11"/>
      <c r="GPJ255" s="11"/>
      <c r="GPK255" s="11"/>
      <c r="GPL255" s="11"/>
      <c r="GPM255" s="11"/>
      <c r="GPN255" s="11"/>
      <c r="GPO255" s="11"/>
      <c r="GPP255" s="11"/>
      <c r="GPQ255" s="11"/>
      <c r="GPR255" s="11"/>
      <c r="GPS255" s="11"/>
      <c r="GPT255" s="11"/>
      <c r="GPU255" s="11"/>
      <c r="GPV255" s="11"/>
      <c r="GPW255" s="11"/>
      <c r="GPX255" s="11"/>
      <c r="GPY255" s="11"/>
      <c r="GPZ255" s="11"/>
      <c r="GQA255" s="11"/>
      <c r="GQB255" s="11"/>
      <c r="GQC255" s="11"/>
      <c r="GQD255" s="11"/>
      <c r="GQE255" s="11"/>
      <c r="GQF255" s="11"/>
      <c r="GQG255" s="11"/>
      <c r="GQH255" s="11"/>
      <c r="GQI255" s="11"/>
      <c r="GQJ255" s="11"/>
      <c r="GQK255" s="11"/>
      <c r="GQL255" s="11"/>
      <c r="GQM255" s="11"/>
      <c r="GQN255" s="11"/>
      <c r="GQO255" s="11"/>
      <c r="GQP255" s="11"/>
      <c r="GQQ255" s="11"/>
      <c r="GQR255" s="11"/>
      <c r="GQS255" s="11"/>
      <c r="GQT255" s="11"/>
      <c r="GQU255" s="11"/>
      <c r="GQV255" s="11"/>
      <c r="GQW255" s="11"/>
      <c r="GQX255" s="11"/>
      <c r="GQY255" s="11"/>
      <c r="GQZ255" s="11"/>
      <c r="GRA255" s="11"/>
      <c r="GRB255" s="11"/>
      <c r="GRC255" s="11"/>
      <c r="GRD255" s="11"/>
      <c r="GRE255" s="11"/>
      <c r="GRF255" s="11"/>
      <c r="GRG255" s="11"/>
      <c r="GRH255" s="11"/>
      <c r="GRI255" s="11"/>
      <c r="GRJ255" s="11"/>
      <c r="GRK255" s="11"/>
      <c r="GRL255" s="11"/>
      <c r="GRM255" s="11"/>
      <c r="GRN255" s="11"/>
      <c r="GRO255" s="11"/>
      <c r="GRP255" s="11"/>
      <c r="GRQ255" s="11"/>
      <c r="GRR255" s="11"/>
      <c r="GRS255" s="11"/>
      <c r="GRT255" s="11"/>
      <c r="GRU255" s="11"/>
      <c r="GRV255" s="11"/>
      <c r="GRW255" s="11"/>
      <c r="GRX255" s="11"/>
      <c r="GRY255" s="11"/>
      <c r="GRZ255" s="11"/>
      <c r="GSA255" s="11"/>
      <c r="GSB255" s="11"/>
      <c r="GSC255" s="11"/>
      <c r="GSD255" s="11"/>
      <c r="GSE255" s="11"/>
      <c r="GSF255" s="11"/>
      <c r="GSG255" s="11"/>
      <c r="GSH255" s="11"/>
      <c r="GSI255" s="11"/>
      <c r="GSJ255" s="11"/>
      <c r="GSK255" s="11"/>
      <c r="GSL255" s="11"/>
      <c r="GSM255" s="11"/>
      <c r="GSN255" s="11"/>
      <c r="GSO255" s="11"/>
      <c r="GSP255" s="11"/>
      <c r="GSQ255" s="11"/>
      <c r="GSR255" s="11"/>
      <c r="GSS255" s="11"/>
      <c r="GST255" s="11"/>
      <c r="GSU255" s="11"/>
      <c r="GSV255" s="11"/>
      <c r="GSW255" s="11"/>
      <c r="GSX255" s="11"/>
      <c r="GSY255" s="11"/>
      <c r="GSZ255" s="11"/>
      <c r="GTA255" s="11"/>
      <c r="GTB255" s="11"/>
      <c r="GTC255" s="11"/>
      <c r="GTD255" s="11"/>
      <c r="GTE255" s="11"/>
      <c r="GTF255" s="11"/>
      <c r="GTG255" s="11"/>
      <c r="GTH255" s="11"/>
      <c r="GTI255" s="11"/>
      <c r="GTJ255" s="11"/>
      <c r="GTK255" s="11"/>
      <c r="GTL255" s="11"/>
      <c r="GTM255" s="11"/>
      <c r="GTN255" s="11"/>
      <c r="GTO255" s="11"/>
      <c r="GTP255" s="11"/>
      <c r="GTQ255" s="11"/>
      <c r="GTR255" s="11"/>
      <c r="GTS255" s="11"/>
      <c r="GTT255" s="11"/>
      <c r="GTU255" s="11"/>
      <c r="GTV255" s="11"/>
      <c r="GTW255" s="11"/>
      <c r="GTX255" s="11"/>
      <c r="GTY255" s="11"/>
      <c r="GTZ255" s="11"/>
      <c r="GUA255" s="11"/>
      <c r="GUB255" s="11"/>
      <c r="GUC255" s="11"/>
      <c r="GUD255" s="11"/>
      <c r="GUE255" s="11"/>
      <c r="GUF255" s="11"/>
      <c r="GUG255" s="11"/>
      <c r="GUH255" s="11"/>
      <c r="GUI255" s="11"/>
      <c r="GUJ255" s="11"/>
      <c r="GUK255" s="11"/>
      <c r="GUL255" s="11"/>
      <c r="GUM255" s="11"/>
      <c r="GUN255" s="11"/>
      <c r="GUO255" s="11"/>
      <c r="GUP255" s="11"/>
      <c r="GUQ255" s="11"/>
      <c r="GUR255" s="11"/>
      <c r="GUS255" s="11"/>
      <c r="GUT255" s="11"/>
      <c r="GUU255" s="11"/>
      <c r="GUV255" s="11"/>
      <c r="GUW255" s="11"/>
      <c r="GUX255" s="11"/>
      <c r="GUY255" s="11"/>
      <c r="GUZ255" s="11"/>
      <c r="GVA255" s="11"/>
      <c r="GVB255" s="11"/>
      <c r="GVC255" s="11"/>
      <c r="GVD255" s="11"/>
      <c r="GVE255" s="11"/>
      <c r="GVF255" s="11"/>
      <c r="GVG255" s="11"/>
      <c r="GVH255" s="11"/>
      <c r="GVI255" s="11"/>
      <c r="GVJ255" s="11"/>
      <c r="GVK255" s="11"/>
      <c r="GVL255" s="11"/>
      <c r="GVM255" s="11"/>
      <c r="GVN255" s="11"/>
      <c r="GVO255" s="11"/>
      <c r="GVP255" s="11"/>
      <c r="GVQ255" s="11"/>
      <c r="GVR255" s="11"/>
      <c r="GVS255" s="11"/>
      <c r="GVT255" s="11"/>
      <c r="GVU255" s="11"/>
      <c r="GVV255" s="11"/>
      <c r="GVW255" s="11"/>
      <c r="GVX255" s="11"/>
      <c r="GVY255" s="11"/>
      <c r="GVZ255" s="11"/>
      <c r="GWA255" s="11"/>
      <c r="GWB255" s="11"/>
      <c r="GWC255" s="11"/>
      <c r="GWD255" s="11"/>
      <c r="GWE255" s="11"/>
      <c r="GWF255" s="11"/>
      <c r="GWG255" s="11"/>
      <c r="GWH255" s="11"/>
      <c r="GWI255" s="11"/>
      <c r="GWJ255" s="11"/>
      <c r="GWK255" s="11"/>
      <c r="GWL255" s="11"/>
      <c r="GWM255" s="11"/>
      <c r="GWN255" s="11"/>
      <c r="GWO255" s="11"/>
      <c r="GWP255" s="11"/>
      <c r="GWQ255" s="11"/>
      <c r="GWR255" s="11"/>
      <c r="GWS255" s="11"/>
      <c r="GWT255" s="11"/>
      <c r="GWU255" s="11"/>
      <c r="GWV255" s="11"/>
      <c r="GWW255" s="11"/>
      <c r="GWX255" s="11"/>
      <c r="GWY255" s="11"/>
      <c r="GWZ255" s="11"/>
      <c r="GXA255" s="11"/>
      <c r="GXB255" s="11"/>
      <c r="GXC255" s="11"/>
      <c r="GXD255" s="11"/>
      <c r="GXE255" s="11"/>
      <c r="GXF255" s="11"/>
      <c r="GXG255" s="11"/>
      <c r="GXH255" s="11"/>
      <c r="GXI255" s="11"/>
      <c r="GXJ255" s="11"/>
      <c r="GXK255" s="11"/>
      <c r="GXL255" s="11"/>
      <c r="GXM255" s="11"/>
      <c r="GXN255" s="11"/>
      <c r="GXO255" s="11"/>
      <c r="GXP255" s="11"/>
      <c r="GXQ255" s="11"/>
      <c r="GXR255" s="11"/>
      <c r="GXS255" s="11"/>
      <c r="GXT255" s="11"/>
      <c r="GXU255" s="11"/>
      <c r="GXV255" s="11"/>
      <c r="GXW255" s="11"/>
      <c r="GXX255" s="11"/>
      <c r="GXY255" s="11"/>
      <c r="GXZ255" s="11"/>
      <c r="GYA255" s="11"/>
      <c r="GYB255" s="11"/>
      <c r="GYC255" s="11"/>
      <c r="GYD255" s="11"/>
      <c r="GYE255" s="11"/>
      <c r="GYF255" s="11"/>
      <c r="GYG255" s="11"/>
      <c r="GYH255" s="11"/>
      <c r="GYI255" s="11"/>
      <c r="GYJ255" s="11"/>
      <c r="GYK255" s="11"/>
      <c r="GYL255" s="11"/>
      <c r="GYM255" s="11"/>
      <c r="GYN255" s="11"/>
      <c r="GYO255" s="11"/>
      <c r="GYP255" s="11"/>
      <c r="GYQ255" s="11"/>
      <c r="GYR255" s="11"/>
      <c r="GYS255" s="11"/>
      <c r="GYT255" s="11"/>
      <c r="GYU255" s="11"/>
      <c r="GYV255" s="11"/>
      <c r="GYW255" s="11"/>
      <c r="GYX255" s="11"/>
      <c r="GYY255" s="11"/>
      <c r="GYZ255" s="11"/>
      <c r="GZA255" s="11"/>
      <c r="GZB255" s="11"/>
      <c r="GZC255" s="11"/>
      <c r="GZD255" s="11"/>
      <c r="GZE255" s="11"/>
      <c r="GZF255" s="11"/>
      <c r="GZG255" s="11"/>
      <c r="GZH255" s="11"/>
      <c r="GZI255" s="11"/>
      <c r="GZJ255" s="11"/>
      <c r="GZK255" s="11"/>
      <c r="GZL255" s="11"/>
      <c r="GZM255" s="11"/>
      <c r="GZN255" s="11"/>
      <c r="GZO255" s="11"/>
      <c r="GZP255" s="11"/>
      <c r="GZQ255" s="11"/>
      <c r="GZR255" s="11"/>
      <c r="GZS255" s="11"/>
      <c r="GZT255" s="11"/>
      <c r="GZU255" s="11"/>
      <c r="GZV255" s="11"/>
      <c r="GZW255" s="11"/>
      <c r="GZX255" s="11"/>
      <c r="GZY255" s="11"/>
      <c r="GZZ255" s="11"/>
      <c r="HAA255" s="11"/>
      <c r="HAB255" s="11"/>
      <c r="HAC255" s="11"/>
      <c r="HAD255" s="11"/>
      <c r="HAE255" s="11"/>
      <c r="HAF255" s="11"/>
      <c r="HAG255" s="11"/>
      <c r="HAH255" s="11"/>
      <c r="HAI255" s="11"/>
      <c r="HAJ255" s="11"/>
      <c r="HAK255" s="11"/>
      <c r="HAL255" s="11"/>
      <c r="HAM255" s="11"/>
      <c r="HAN255" s="11"/>
      <c r="HAO255" s="11"/>
      <c r="HAP255" s="11"/>
      <c r="HAQ255" s="11"/>
      <c r="HAR255" s="11"/>
      <c r="HAS255" s="11"/>
      <c r="HAT255" s="11"/>
      <c r="HAU255" s="11"/>
      <c r="HAV255" s="11"/>
      <c r="HAW255" s="11"/>
      <c r="HAX255" s="11"/>
      <c r="HAY255" s="11"/>
      <c r="HAZ255" s="11"/>
      <c r="HBA255" s="11"/>
      <c r="HBB255" s="11"/>
      <c r="HBC255" s="11"/>
      <c r="HBD255" s="11"/>
      <c r="HBE255" s="11"/>
      <c r="HBF255" s="11"/>
      <c r="HBG255" s="11"/>
      <c r="HBH255" s="11"/>
      <c r="HBI255" s="11"/>
      <c r="HBJ255" s="11"/>
      <c r="HBK255" s="11"/>
      <c r="HBL255" s="11"/>
      <c r="HBM255" s="11"/>
      <c r="HBN255" s="11"/>
      <c r="HBO255" s="11"/>
      <c r="HBP255" s="11"/>
      <c r="HBQ255" s="11"/>
      <c r="HBR255" s="11"/>
      <c r="HBS255" s="11"/>
      <c r="HBT255" s="11"/>
      <c r="HBU255" s="11"/>
      <c r="HBV255" s="11"/>
      <c r="HBW255" s="11"/>
      <c r="HBX255" s="11"/>
      <c r="HBY255" s="11"/>
      <c r="HBZ255" s="11"/>
      <c r="HCA255" s="11"/>
      <c r="HCB255" s="11"/>
      <c r="HCC255" s="11"/>
      <c r="HCD255" s="11"/>
      <c r="HCE255" s="11"/>
      <c r="HCF255" s="11"/>
      <c r="HCG255" s="11"/>
      <c r="HCH255" s="11"/>
      <c r="HCI255" s="11"/>
      <c r="HCJ255" s="11"/>
      <c r="HCK255" s="11"/>
      <c r="HCL255" s="11"/>
      <c r="HCM255" s="11"/>
      <c r="HCN255" s="11"/>
      <c r="HCO255" s="11"/>
      <c r="HCP255" s="11"/>
      <c r="HCQ255" s="11"/>
      <c r="HCR255" s="11"/>
      <c r="HCS255" s="11"/>
      <c r="HCT255" s="11"/>
      <c r="HCU255" s="11"/>
      <c r="HCV255" s="11"/>
      <c r="HCW255" s="11"/>
      <c r="HCX255" s="11"/>
      <c r="HCY255" s="11"/>
      <c r="HCZ255" s="11"/>
      <c r="HDA255" s="11"/>
      <c r="HDB255" s="11"/>
      <c r="HDC255" s="11"/>
      <c r="HDD255" s="11"/>
      <c r="HDE255" s="11"/>
      <c r="HDF255" s="11"/>
      <c r="HDG255" s="11"/>
      <c r="HDH255" s="11"/>
      <c r="HDI255" s="11"/>
      <c r="HDJ255" s="11"/>
      <c r="HDK255" s="11"/>
      <c r="HDL255" s="11"/>
      <c r="HDM255" s="11"/>
      <c r="HDN255" s="11"/>
      <c r="HDO255" s="11"/>
      <c r="HDP255" s="11"/>
      <c r="HDQ255" s="11"/>
      <c r="HDR255" s="11"/>
      <c r="HDS255" s="11"/>
      <c r="HDT255" s="11"/>
      <c r="HDU255" s="11"/>
      <c r="HDV255" s="11"/>
      <c r="HDW255" s="11"/>
      <c r="HDX255" s="11"/>
      <c r="HDY255" s="11"/>
      <c r="HDZ255" s="11"/>
      <c r="HEA255" s="11"/>
      <c r="HEB255" s="11"/>
      <c r="HEC255" s="11"/>
      <c r="HED255" s="11"/>
      <c r="HEE255" s="11"/>
      <c r="HEF255" s="11"/>
      <c r="HEG255" s="11"/>
      <c r="HEH255" s="11"/>
      <c r="HEI255" s="11"/>
      <c r="HEJ255" s="11"/>
      <c r="HEK255" s="11"/>
      <c r="HEL255" s="11"/>
      <c r="HEM255" s="11"/>
      <c r="HEN255" s="11"/>
      <c r="HEO255" s="11"/>
      <c r="HEP255" s="11"/>
      <c r="HEQ255" s="11"/>
      <c r="HER255" s="11"/>
      <c r="HES255" s="11"/>
      <c r="HET255" s="11"/>
      <c r="HEU255" s="11"/>
      <c r="HEV255" s="11"/>
      <c r="HEW255" s="11"/>
      <c r="HEX255" s="11"/>
      <c r="HEY255" s="11"/>
      <c r="HEZ255" s="11"/>
      <c r="HFA255" s="11"/>
      <c r="HFB255" s="11"/>
      <c r="HFC255" s="11"/>
      <c r="HFD255" s="11"/>
      <c r="HFE255" s="11"/>
      <c r="HFF255" s="11"/>
      <c r="HFG255" s="11"/>
      <c r="HFH255" s="11"/>
      <c r="HFI255" s="11"/>
      <c r="HFJ255" s="11"/>
      <c r="HFK255" s="11"/>
      <c r="HFL255" s="11"/>
      <c r="HFM255" s="11"/>
      <c r="HFN255" s="11"/>
      <c r="HFO255" s="11"/>
      <c r="HFP255" s="11"/>
      <c r="HFQ255" s="11"/>
      <c r="HFR255" s="11"/>
      <c r="HFS255" s="11"/>
      <c r="HFT255" s="11"/>
      <c r="HFU255" s="11"/>
      <c r="HFV255" s="11"/>
      <c r="HFW255" s="11"/>
      <c r="HFX255" s="11"/>
      <c r="HFY255" s="11"/>
      <c r="HFZ255" s="11"/>
      <c r="HGA255" s="11"/>
      <c r="HGB255" s="11"/>
      <c r="HGC255" s="11"/>
      <c r="HGD255" s="11"/>
      <c r="HGE255" s="11"/>
      <c r="HGF255" s="11"/>
      <c r="HGG255" s="11"/>
      <c r="HGH255" s="11"/>
      <c r="HGI255" s="11"/>
      <c r="HGJ255" s="11"/>
      <c r="HGK255" s="11"/>
      <c r="HGL255" s="11"/>
      <c r="HGM255" s="11"/>
      <c r="HGN255" s="11"/>
      <c r="HGO255" s="11"/>
      <c r="HGP255" s="11"/>
      <c r="HGQ255" s="11"/>
      <c r="HGR255" s="11"/>
      <c r="HGS255" s="11"/>
      <c r="HGT255" s="11"/>
      <c r="HGU255" s="11"/>
      <c r="HGV255" s="11"/>
      <c r="HGW255" s="11"/>
      <c r="HGX255" s="11"/>
      <c r="HGY255" s="11"/>
      <c r="HGZ255" s="11"/>
      <c r="HHA255" s="11"/>
      <c r="HHB255" s="11"/>
      <c r="HHC255" s="11"/>
      <c r="HHD255" s="11"/>
      <c r="HHE255" s="11"/>
      <c r="HHF255" s="11"/>
      <c r="HHG255" s="11"/>
      <c r="HHH255" s="11"/>
      <c r="HHI255" s="11"/>
      <c r="HHJ255" s="11"/>
      <c r="HHK255" s="11"/>
      <c r="HHL255" s="11"/>
      <c r="HHM255" s="11"/>
      <c r="HHN255" s="11"/>
      <c r="HHO255" s="11"/>
      <c r="HHP255" s="11"/>
      <c r="HHQ255" s="11"/>
      <c r="HHR255" s="11"/>
      <c r="HHS255" s="11"/>
      <c r="HHT255" s="11"/>
      <c r="HHU255" s="11"/>
      <c r="HHV255" s="11"/>
      <c r="HHW255" s="11"/>
      <c r="HHX255" s="11"/>
      <c r="HHY255" s="11"/>
      <c r="HHZ255" s="11"/>
      <c r="HIA255" s="11"/>
      <c r="HIB255" s="11"/>
      <c r="HIC255" s="11"/>
      <c r="HID255" s="11"/>
      <c r="HIE255" s="11"/>
      <c r="HIF255" s="11"/>
      <c r="HIG255" s="11"/>
      <c r="HIH255" s="11"/>
      <c r="HII255" s="11"/>
      <c r="HIJ255" s="11"/>
      <c r="HIK255" s="11"/>
      <c r="HIL255" s="11"/>
      <c r="HIM255" s="11"/>
      <c r="HIN255" s="11"/>
      <c r="HIO255" s="11"/>
      <c r="HIP255" s="11"/>
      <c r="HIQ255" s="11"/>
      <c r="HIR255" s="11"/>
      <c r="HIS255" s="11"/>
      <c r="HIT255" s="11"/>
      <c r="HIU255" s="11"/>
      <c r="HIV255" s="11"/>
      <c r="HIW255" s="11"/>
      <c r="HIX255" s="11"/>
      <c r="HIY255" s="11"/>
      <c r="HIZ255" s="11"/>
      <c r="HJA255" s="11"/>
      <c r="HJB255" s="11"/>
      <c r="HJC255" s="11"/>
      <c r="HJD255" s="11"/>
      <c r="HJE255" s="11"/>
      <c r="HJF255" s="11"/>
      <c r="HJG255" s="11"/>
      <c r="HJH255" s="11"/>
      <c r="HJI255" s="11"/>
      <c r="HJJ255" s="11"/>
      <c r="HJK255" s="11"/>
      <c r="HJL255" s="11"/>
      <c r="HJM255" s="11"/>
      <c r="HJN255" s="11"/>
      <c r="HJO255" s="11"/>
      <c r="HJP255" s="11"/>
      <c r="HJQ255" s="11"/>
      <c r="HJR255" s="11"/>
      <c r="HJS255" s="11"/>
      <c r="HJT255" s="11"/>
      <c r="HJU255" s="11"/>
      <c r="HJV255" s="11"/>
      <c r="HJW255" s="11"/>
      <c r="HJX255" s="11"/>
      <c r="HJY255" s="11"/>
      <c r="HJZ255" s="11"/>
      <c r="HKA255" s="11"/>
      <c r="HKB255" s="11"/>
      <c r="HKC255" s="11"/>
      <c r="HKD255" s="11"/>
      <c r="HKE255" s="11"/>
      <c r="HKF255" s="11"/>
      <c r="HKG255" s="11"/>
      <c r="HKH255" s="11"/>
      <c r="HKI255" s="11"/>
      <c r="HKJ255" s="11"/>
      <c r="HKK255" s="11"/>
      <c r="HKL255" s="11"/>
      <c r="HKM255" s="11"/>
      <c r="HKN255" s="11"/>
      <c r="HKO255" s="11"/>
      <c r="HKP255" s="11"/>
      <c r="HKQ255" s="11"/>
      <c r="HKR255" s="11"/>
      <c r="HKS255" s="11"/>
      <c r="HKT255" s="11"/>
      <c r="HKU255" s="11"/>
      <c r="HKV255" s="11"/>
      <c r="HKW255" s="11"/>
      <c r="HKX255" s="11"/>
      <c r="HKY255" s="11"/>
      <c r="HKZ255" s="11"/>
      <c r="HLA255" s="11"/>
      <c r="HLB255" s="11"/>
      <c r="HLC255" s="11"/>
      <c r="HLD255" s="11"/>
      <c r="HLE255" s="11"/>
      <c r="HLF255" s="11"/>
      <c r="HLG255" s="11"/>
      <c r="HLH255" s="11"/>
      <c r="HLI255" s="11"/>
      <c r="HLJ255" s="11"/>
      <c r="HLK255" s="11"/>
      <c r="HLL255" s="11"/>
      <c r="HLM255" s="11"/>
      <c r="HLN255" s="11"/>
      <c r="HLO255" s="11"/>
      <c r="HLP255" s="11"/>
      <c r="HLQ255" s="11"/>
      <c r="HLR255" s="11"/>
      <c r="HLS255" s="11"/>
      <c r="HLT255" s="11"/>
      <c r="HLU255" s="11"/>
      <c r="HLV255" s="11"/>
      <c r="HLW255" s="11"/>
      <c r="HLX255" s="11"/>
      <c r="HLY255" s="11"/>
      <c r="HLZ255" s="11"/>
      <c r="HMA255" s="11"/>
      <c r="HMB255" s="11"/>
      <c r="HMC255" s="11"/>
      <c r="HMD255" s="11"/>
      <c r="HME255" s="11"/>
      <c r="HMF255" s="11"/>
      <c r="HMG255" s="11"/>
      <c r="HMH255" s="11"/>
      <c r="HMI255" s="11"/>
      <c r="HMJ255" s="11"/>
      <c r="HMK255" s="11"/>
      <c r="HML255" s="11"/>
      <c r="HMM255" s="11"/>
      <c r="HMN255" s="11"/>
      <c r="HMO255" s="11"/>
      <c r="HMP255" s="11"/>
      <c r="HMQ255" s="11"/>
      <c r="HMR255" s="11"/>
      <c r="HMS255" s="11"/>
      <c r="HMT255" s="11"/>
      <c r="HMU255" s="11"/>
      <c r="HMV255" s="11"/>
      <c r="HMW255" s="11"/>
      <c r="HMX255" s="11"/>
      <c r="HMY255" s="11"/>
      <c r="HMZ255" s="11"/>
      <c r="HNA255" s="11"/>
      <c r="HNB255" s="11"/>
      <c r="HNC255" s="11"/>
      <c r="HND255" s="11"/>
      <c r="HNE255" s="11"/>
      <c r="HNF255" s="11"/>
      <c r="HNG255" s="11"/>
      <c r="HNH255" s="11"/>
      <c r="HNI255" s="11"/>
      <c r="HNJ255" s="11"/>
      <c r="HNK255" s="11"/>
      <c r="HNL255" s="11"/>
      <c r="HNM255" s="11"/>
      <c r="HNN255" s="11"/>
      <c r="HNO255" s="11"/>
      <c r="HNP255" s="11"/>
      <c r="HNQ255" s="11"/>
      <c r="HNR255" s="11"/>
      <c r="HNS255" s="11"/>
      <c r="HNT255" s="11"/>
      <c r="HNU255" s="11"/>
      <c r="HNV255" s="11"/>
      <c r="HNW255" s="11"/>
      <c r="HNX255" s="11"/>
      <c r="HNY255" s="11"/>
      <c r="HNZ255" s="11"/>
      <c r="HOA255" s="11"/>
      <c r="HOB255" s="11"/>
      <c r="HOC255" s="11"/>
      <c r="HOD255" s="11"/>
      <c r="HOE255" s="11"/>
      <c r="HOF255" s="11"/>
      <c r="HOG255" s="11"/>
      <c r="HOH255" s="11"/>
      <c r="HOI255" s="11"/>
      <c r="HOJ255" s="11"/>
      <c r="HOK255" s="11"/>
      <c r="HOL255" s="11"/>
      <c r="HOM255" s="11"/>
      <c r="HON255" s="11"/>
      <c r="HOO255" s="11"/>
      <c r="HOP255" s="11"/>
      <c r="HOQ255" s="11"/>
      <c r="HOR255" s="11"/>
      <c r="HOS255" s="11"/>
      <c r="HOT255" s="11"/>
      <c r="HOU255" s="11"/>
      <c r="HOV255" s="11"/>
      <c r="HOW255" s="11"/>
      <c r="HOX255" s="11"/>
      <c r="HOY255" s="11"/>
      <c r="HOZ255" s="11"/>
      <c r="HPA255" s="11"/>
      <c r="HPB255" s="11"/>
      <c r="HPC255" s="11"/>
      <c r="HPD255" s="11"/>
      <c r="HPE255" s="11"/>
      <c r="HPF255" s="11"/>
      <c r="HPG255" s="11"/>
      <c r="HPH255" s="11"/>
      <c r="HPI255" s="11"/>
      <c r="HPJ255" s="11"/>
      <c r="HPK255" s="11"/>
      <c r="HPL255" s="11"/>
      <c r="HPM255" s="11"/>
      <c r="HPN255" s="11"/>
      <c r="HPO255" s="11"/>
      <c r="HPP255" s="11"/>
      <c r="HPQ255" s="11"/>
      <c r="HPR255" s="11"/>
      <c r="HPS255" s="11"/>
      <c r="HPT255" s="11"/>
      <c r="HPU255" s="11"/>
      <c r="HPV255" s="11"/>
      <c r="HPW255" s="11"/>
      <c r="HPX255" s="11"/>
      <c r="HPY255" s="11"/>
      <c r="HPZ255" s="11"/>
      <c r="HQA255" s="11"/>
      <c r="HQB255" s="11"/>
      <c r="HQC255" s="11"/>
      <c r="HQD255" s="11"/>
      <c r="HQE255" s="11"/>
      <c r="HQF255" s="11"/>
      <c r="HQG255" s="11"/>
      <c r="HQH255" s="11"/>
      <c r="HQI255" s="11"/>
      <c r="HQJ255" s="11"/>
      <c r="HQK255" s="11"/>
      <c r="HQL255" s="11"/>
      <c r="HQM255" s="11"/>
      <c r="HQN255" s="11"/>
      <c r="HQO255" s="11"/>
      <c r="HQP255" s="11"/>
      <c r="HQQ255" s="11"/>
      <c r="HQR255" s="11"/>
      <c r="HQS255" s="11"/>
      <c r="HQT255" s="11"/>
      <c r="HQU255" s="11"/>
      <c r="HQV255" s="11"/>
      <c r="HQW255" s="11"/>
      <c r="HQX255" s="11"/>
      <c r="HQY255" s="11"/>
      <c r="HQZ255" s="11"/>
      <c r="HRA255" s="11"/>
      <c r="HRB255" s="11"/>
      <c r="HRC255" s="11"/>
      <c r="HRD255" s="11"/>
      <c r="HRE255" s="11"/>
      <c r="HRF255" s="11"/>
      <c r="HRG255" s="11"/>
      <c r="HRH255" s="11"/>
      <c r="HRI255" s="11"/>
      <c r="HRJ255" s="11"/>
      <c r="HRK255" s="11"/>
      <c r="HRL255" s="11"/>
      <c r="HRM255" s="11"/>
      <c r="HRN255" s="11"/>
      <c r="HRO255" s="11"/>
      <c r="HRP255" s="11"/>
      <c r="HRQ255" s="11"/>
      <c r="HRR255" s="11"/>
      <c r="HRS255" s="11"/>
      <c r="HRT255" s="11"/>
      <c r="HRU255" s="11"/>
      <c r="HRV255" s="11"/>
      <c r="HRW255" s="11"/>
      <c r="HRX255" s="11"/>
      <c r="HRY255" s="11"/>
      <c r="HRZ255" s="11"/>
      <c r="HSA255" s="11"/>
      <c r="HSB255" s="11"/>
      <c r="HSC255" s="11"/>
      <c r="HSD255" s="11"/>
      <c r="HSE255" s="11"/>
      <c r="HSF255" s="11"/>
      <c r="HSG255" s="11"/>
      <c r="HSH255" s="11"/>
      <c r="HSI255" s="11"/>
      <c r="HSJ255" s="11"/>
      <c r="HSK255" s="11"/>
      <c r="HSL255" s="11"/>
      <c r="HSM255" s="11"/>
      <c r="HSN255" s="11"/>
      <c r="HSO255" s="11"/>
      <c r="HSP255" s="11"/>
      <c r="HSQ255" s="11"/>
      <c r="HSR255" s="11"/>
      <c r="HSS255" s="11"/>
      <c r="HST255" s="11"/>
      <c r="HSU255" s="11"/>
      <c r="HSV255" s="11"/>
      <c r="HSW255" s="11"/>
      <c r="HSX255" s="11"/>
      <c r="HSY255" s="11"/>
      <c r="HSZ255" s="11"/>
      <c r="HTA255" s="11"/>
      <c r="HTB255" s="11"/>
      <c r="HTC255" s="11"/>
      <c r="HTD255" s="11"/>
      <c r="HTE255" s="11"/>
      <c r="HTF255" s="11"/>
      <c r="HTG255" s="11"/>
      <c r="HTH255" s="11"/>
      <c r="HTI255" s="11"/>
      <c r="HTJ255" s="11"/>
      <c r="HTK255" s="11"/>
      <c r="HTL255" s="11"/>
      <c r="HTM255" s="11"/>
      <c r="HTN255" s="11"/>
      <c r="HTO255" s="11"/>
      <c r="HTP255" s="11"/>
      <c r="HTQ255" s="11"/>
      <c r="HTR255" s="11"/>
      <c r="HTS255" s="11"/>
      <c r="HTT255" s="11"/>
      <c r="HTU255" s="11"/>
      <c r="HTV255" s="11"/>
      <c r="HTW255" s="11"/>
      <c r="HTX255" s="11"/>
      <c r="HTY255" s="11"/>
      <c r="HTZ255" s="11"/>
      <c r="HUA255" s="11"/>
      <c r="HUB255" s="11"/>
      <c r="HUC255" s="11"/>
      <c r="HUD255" s="11"/>
      <c r="HUE255" s="11"/>
      <c r="HUF255" s="11"/>
      <c r="HUG255" s="11"/>
      <c r="HUH255" s="11"/>
      <c r="HUI255" s="11"/>
      <c r="HUJ255" s="11"/>
      <c r="HUK255" s="11"/>
      <c r="HUL255" s="11"/>
      <c r="HUM255" s="11"/>
      <c r="HUN255" s="11"/>
      <c r="HUO255" s="11"/>
      <c r="HUP255" s="11"/>
      <c r="HUQ255" s="11"/>
      <c r="HUR255" s="11"/>
      <c r="HUS255" s="11"/>
      <c r="HUT255" s="11"/>
      <c r="HUU255" s="11"/>
      <c r="HUV255" s="11"/>
      <c r="HUW255" s="11"/>
      <c r="HUX255" s="11"/>
      <c r="HUY255" s="11"/>
      <c r="HUZ255" s="11"/>
      <c r="HVA255" s="11"/>
      <c r="HVB255" s="11"/>
      <c r="HVC255" s="11"/>
      <c r="HVD255" s="11"/>
      <c r="HVE255" s="11"/>
      <c r="HVF255" s="11"/>
      <c r="HVG255" s="11"/>
      <c r="HVH255" s="11"/>
      <c r="HVI255" s="11"/>
      <c r="HVJ255" s="11"/>
      <c r="HVK255" s="11"/>
      <c r="HVL255" s="11"/>
      <c r="HVM255" s="11"/>
      <c r="HVN255" s="11"/>
      <c r="HVO255" s="11"/>
      <c r="HVP255" s="11"/>
      <c r="HVQ255" s="11"/>
      <c r="HVR255" s="11"/>
      <c r="HVS255" s="11"/>
      <c r="HVT255" s="11"/>
      <c r="HVU255" s="11"/>
      <c r="HVV255" s="11"/>
      <c r="HVW255" s="11"/>
      <c r="HVX255" s="11"/>
      <c r="HVY255" s="11"/>
      <c r="HVZ255" s="11"/>
      <c r="HWA255" s="11"/>
      <c r="HWB255" s="11"/>
      <c r="HWC255" s="11"/>
      <c r="HWD255" s="11"/>
      <c r="HWE255" s="11"/>
      <c r="HWF255" s="11"/>
      <c r="HWG255" s="11"/>
      <c r="HWH255" s="11"/>
      <c r="HWI255" s="11"/>
      <c r="HWJ255" s="11"/>
      <c r="HWK255" s="11"/>
      <c r="HWL255" s="11"/>
      <c r="HWM255" s="11"/>
      <c r="HWN255" s="11"/>
      <c r="HWO255" s="11"/>
      <c r="HWP255" s="11"/>
      <c r="HWQ255" s="11"/>
      <c r="HWR255" s="11"/>
      <c r="HWS255" s="11"/>
      <c r="HWT255" s="11"/>
      <c r="HWU255" s="11"/>
      <c r="HWV255" s="11"/>
      <c r="HWW255" s="11"/>
      <c r="HWX255" s="11"/>
      <c r="HWY255" s="11"/>
      <c r="HWZ255" s="11"/>
      <c r="HXA255" s="11"/>
      <c r="HXB255" s="11"/>
      <c r="HXC255" s="11"/>
      <c r="HXD255" s="11"/>
      <c r="HXE255" s="11"/>
      <c r="HXF255" s="11"/>
      <c r="HXG255" s="11"/>
      <c r="HXH255" s="11"/>
      <c r="HXI255" s="11"/>
      <c r="HXJ255" s="11"/>
      <c r="HXK255" s="11"/>
      <c r="HXL255" s="11"/>
      <c r="HXM255" s="11"/>
      <c r="HXN255" s="11"/>
      <c r="HXO255" s="11"/>
      <c r="HXP255" s="11"/>
      <c r="HXQ255" s="11"/>
      <c r="HXR255" s="11"/>
      <c r="HXS255" s="11"/>
      <c r="HXT255" s="11"/>
      <c r="HXU255" s="11"/>
      <c r="HXV255" s="11"/>
      <c r="HXW255" s="11"/>
      <c r="HXX255" s="11"/>
      <c r="HXY255" s="11"/>
      <c r="HXZ255" s="11"/>
      <c r="HYA255" s="11"/>
      <c r="HYB255" s="11"/>
      <c r="HYC255" s="11"/>
      <c r="HYD255" s="11"/>
      <c r="HYE255" s="11"/>
      <c r="HYF255" s="11"/>
      <c r="HYG255" s="11"/>
      <c r="HYH255" s="11"/>
      <c r="HYI255" s="11"/>
      <c r="HYJ255" s="11"/>
      <c r="HYK255" s="11"/>
      <c r="HYL255" s="11"/>
      <c r="HYM255" s="11"/>
      <c r="HYN255" s="11"/>
      <c r="HYO255" s="11"/>
      <c r="HYP255" s="11"/>
      <c r="HYQ255" s="11"/>
      <c r="HYR255" s="11"/>
      <c r="HYS255" s="11"/>
      <c r="HYT255" s="11"/>
      <c r="HYU255" s="11"/>
      <c r="HYV255" s="11"/>
      <c r="HYW255" s="11"/>
      <c r="HYX255" s="11"/>
      <c r="HYY255" s="11"/>
      <c r="HYZ255" s="11"/>
      <c r="HZA255" s="11"/>
      <c r="HZB255" s="11"/>
      <c r="HZC255" s="11"/>
      <c r="HZD255" s="11"/>
      <c r="HZE255" s="11"/>
      <c r="HZF255" s="11"/>
      <c r="HZG255" s="11"/>
      <c r="HZH255" s="11"/>
      <c r="HZI255" s="11"/>
      <c r="HZJ255" s="11"/>
      <c r="HZK255" s="11"/>
      <c r="HZL255" s="11"/>
      <c r="HZM255" s="11"/>
      <c r="HZN255" s="11"/>
      <c r="HZO255" s="11"/>
      <c r="HZP255" s="11"/>
      <c r="HZQ255" s="11"/>
      <c r="HZR255" s="11"/>
      <c r="HZS255" s="11"/>
      <c r="HZT255" s="11"/>
      <c r="HZU255" s="11"/>
      <c r="HZV255" s="11"/>
      <c r="HZW255" s="11"/>
      <c r="HZX255" s="11"/>
      <c r="HZY255" s="11"/>
      <c r="HZZ255" s="11"/>
      <c r="IAA255" s="11"/>
      <c r="IAB255" s="11"/>
      <c r="IAC255" s="11"/>
      <c r="IAD255" s="11"/>
      <c r="IAE255" s="11"/>
      <c r="IAF255" s="11"/>
      <c r="IAG255" s="11"/>
      <c r="IAH255" s="11"/>
      <c r="IAI255" s="11"/>
      <c r="IAJ255" s="11"/>
      <c r="IAK255" s="11"/>
      <c r="IAL255" s="11"/>
      <c r="IAM255" s="11"/>
      <c r="IAN255" s="11"/>
      <c r="IAO255" s="11"/>
      <c r="IAP255" s="11"/>
      <c r="IAQ255" s="11"/>
      <c r="IAR255" s="11"/>
      <c r="IAS255" s="11"/>
      <c r="IAT255" s="11"/>
      <c r="IAU255" s="11"/>
      <c r="IAV255" s="11"/>
      <c r="IAW255" s="11"/>
      <c r="IAX255" s="11"/>
      <c r="IAY255" s="11"/>
      <c r="IAZ255" s="11"/>
      <c r="IBA255" s="11"/>
      <c r="IBB255" s="11"/>
      <c r="IBC255" s="11"/>
      <c r="IBD255" s="11"/>
      <c r="IBE255" s="11"/>
      <c r="IBF255" s="11"/>
      <c r="IBG255" s="11"/>
      <c r="IBH255" s="11"/>
      <c r="IBI255" s="11"/>
      <c r="IBJ255" s="11"/>
      <c r="IBK255" s="11"/>
      <c r="IBL255" s="11"/>
      <c r="IBM255" s="11"/>
      <c r="IBN255" s="11"/>
      <c r="IBO255" s="11"/>
      <c r="IBP255" s="11"/>
      <c r="IBQ255" s="11"/>
      <c r="IBR255" s="11"/>
      <c r="IBS255" s="11"/>
      <c r="IBT255" s="11"/>
      <c r="IBU255" s="11"/>
      <c r="IBV255" s="11"/>
      <c r="IBW255" s="11"/>
      <c r="IBX255" s="11"/>
      <c r="IBY255" s="11"/>
      <c r="IBZ255" s="11"/>
      <c r="ICA255" s="11"/>
      <c r="ICB255" s="11"/>
      <c r="ICC255" s="11"/>
      <c r="ICD255" s="11"/>
      <c r="ICE255" s="11"/>
      <c r="ICF255" s="11"/>
      <c r="ICG255" s="11"/>
      <c r="ICH255" s="11"/>
      <c r="ICI255" s="11"/>
      <c r="ICJ255" s="11"/>
      <c r="ICK255" s="11"/>
      <c r="ICL255" s="11"/>
      <c r="ICM255" s="11"/>
      <c r="ICN255" s="11"/>
      <c r="ICO255" s="11"/>
      <c r="ICP255" s="11"/>
      <c r="ICQ255" s="11"/>
      <c r="ICR255" s="11"/>
      <c r="ICS255" s="11"/>
      <c r="ICT255" s="11"/>
      <c r="ICU255" s="11"/>
      <c r="ICV255" s="11"/>
      <c r="ICW255" s="11"/>
      <c r="ICX255" s="11"/>
      <c r="ICY255" s="11"/>
      <c r="ICZ255" s="11"/>
      <c r="IDA255" s="11"/>
      <c r="IDB255" s="11"/>
      <c r="IDC255" s="11"/>
      <c r="IDD255" s="11"/>
      <c r="IDE255" s="11"/>
      <c r="IDF255" s="11"/>
      <c r="IDG255" s="11"/>
      <c r="IDH255" s="11"/>
      <c r="IDI255" s="11"/>
      <c r="IDJ255" s="11"/>
      <c r="IDK255" s="11"/>
      <c r="IDL255" s="11"/>
      <c r="IDM255" s="11"/>
      <c r="IDN255" s="11"/>
      <c r="IDO255" s="11"/>
      <c r="IDP255" s="11"/>
      <c r="IDQ255" s="11"/>
      <c r="IDR255" s="11"/>
      <c r="IDS255" s="11"/>
      <c r="IDT255" s="11"/>
      <c r="IDU255" s="11"/>
      <c r="IDV255" s="11"/>
      <c r="IDW255" s="11"/>
      <c r="IDX255" s="11"/>
      <c r="IDY255" s="11"/>
      <c r="IDZ255" s="11"/>
      <c r="IEA255" s="11"/>
      <c r="IEB255" s="11"/>
      <c r="IEC255" s="11"/>
      <c r="IED255" s="11"/>
      <c r="IEE255" s="11"/>
      <c r="IEF255" s="11"/>
      <c r="IEG255" s="11"/>
      <c r="IEH255" s="11"/>
      <c r="IEI255" s="11"/>
      <c r="IEJ255" s="11"/>
      <c r="IEK255" s="11"/>
      <c r="IEL255" s="11"/>
      <c r="IEM255" s="11"/>
      <c r="IEN255" s="11"/>
      <c r="IEO255" s="11"/>
      <c r="IEP255" s="11"/>
      <c r="IEQ255" s="11"/>
      <c r="IER255" s="11"/>
      <c r="IES255" s="11"/>
      <c r="IET255" s="11"/>
      <c r="IEU255" s="11"/>
      <c r="IEV255" s="11"/>
      <c r="IEW255" s="11"/>
      <c r="IEX255" s="11"/>
      <c r="IEY255" s="11"/>
      <c r="IEZ255" s="11"/>
      <c r="IFA255" s="11"/>
      <c r="IFB255" s="11"/>
      <c r="IFC255" s="11"/>
      <c r="IFD255" s="11"/>
      <c r="IFE255" s="11"/>
      <c r="IFF255" s="11"/>
      <c r="IFG255" s="11"/>
      <c r="IFH255" s="11"/>
      <c r="IFI255" s="11"/>
      <c r="IFJ255" s="11"/>
      <c r="IFK255" s="11"/>
      <c r="IFL255" s="11"/>
      <c r="IFM255" s="11"/>
      <c r="IFN255" s="11"/>
      <c r="IFO255" s="11"/>
      <c r="IFP255" s="11"/>
      <c r="IFQ255" s="11"/>
      <c r="IFR255" s="11"/>
      <c r="IFS255" s="11"/>
      <c r="IFT255" s="11"/>
      <c r="IFU255" s="11"/>
      <c r="IFV255" s="11"/>
      <c r="IFW255" s="11"/>
      <c r="IFX255" s="11"/>
      <c r="IFY255" s="11"/>
      <c r="IFZ255" s="11"/>
      <c r="IGA255" s="11"/>
      <c r="IGB255" s="11"/>
      <c r="IGC255" s="11"/>
      <c r="IGD255" s="11"/>
      <c r="IGE255" s="11"/>
      <c r="IGF255" s="11"/>
      <c r="IGG255" s="11"/>
      <c r="IGH255" s="11"/>
      <c r="IGI255" s="11"/>
      <c r="IGJ255" s="11"/>
      <c r="IGK255" s="11"/>
      <c r="IGL255" s="11"/>
      <c r="IGM255" s="11"/>
      <c r="IGN255" s="11"/>
      <c r="IGO255" s="11"/>
      <c r="IGP255" s="11"/>
      <c r="IGQ255" s="11"/>
      <c r="IGR255" s="11"/>
      <c r="IGS255" s="11"/>
      <c r="IGT255" s="11"/>
      <c r="IGU255" s="11"/>
      <c r="IGV255" s="11"/>
      <c r="IGW255" s="11"/>
      <c r="IGX255" s="11"/>
      <c r="IGY255" s="11"/>
      <c r="IGZ255" s="11"/>
      <c r="IHA255" s="11"/>
      <c r="IHB255" s="11"/>
      <c r="IHC255" s="11"/>
      <c r="IHD255" s="11"/>
      <c r="IHE255" s="11"/>
      <c r="IHF255" s="11"/>
      <c r="IHG255" s="11"/>
      <c r="IHH255" s="11"/>
      <c r="IHI255" s="11"/>
      <c r="IHJ255" s="11"/>
      <c r="IHK255" s="11"/>
      <c r="IHL255" s="11"/>
      <c r="IHM255" s="11"/>
      <c r="IHN255" s="11"/>
      <c r="IHO255" s="11"/>
      <c r="IHP255" s="11"/>
      <c r="IHQ255" s="11"/>
      <c r="IHR255" s="11"/>
      <c r="IHS255" s="11"/>
      <c r="IHT255" s="11"/>
      <c r="IHU255" s="11"/>
      <c r="IHV255" s="11"/>
      <c r="IHW255" s="11"/>
      <c r="IHX255" s="11"/>
      <c r="IHY255" s="11"/>
      <c r="IHZ255" s="11"/>
      <c r="IIA255" s="11"/>
      <c r="IIB255" s="11"/>
      <c r="IIC255" s="11"/>
      <c r="IID255" s="11"/>
      <c r="IIE255" s="11"/>
      <c r="IIF255" s="11"/>
      <c r="IIG255" s="11"/>
      <c r="IIH255" s="11"/>
      <c r="III255" s="11"/>
      <c r="IIJ255" s="11"/>
      <c r="IIK255" s="11"/>
      <c r="IIL255" s="11"/>
      <c r="IIM255" s="11"/>
      <c r="IIN255" s="11"/>
      <c r="IIO255" s="11"/>
      <c r="IIP255" s="11"/>
      <c r="IIQ255" s="11"/>
      <c r="IIR255" s="11"/>
      <c r="IIS255" s="11"/>
      <c r="IIT255" s="11"/>
      <c r="IIU255" s="11"/>
      <c r="IIV255" s="11"/>
      <c r="IIW255" s="11"/>
      <c r="IIX255" s="11"/>
      <c r="IIY255" s="11"/>
      <c r="IIZ255" s="11"/>
      <c r="IJA255" s="11"/>
      <c r="IJB255" s="11"/>
      <c r="IJC255" s="11"/>
      <c r="IJD255" s="11"/>
      <c r="IJE255" s="11"/>
      <c r="IJF255" s="11"/>
      <c r="IJG255" s="11"/>
      <c r="IJH255" s="11"/>
      <c r="IJI255" s="11"/>
      <c r="IJJ255" s="11"/>
      <c r="IJK255" s="11"/>
      <c r="IJL255" s="11"/>
      <c r="IJM255" s="11"/>
      <c r="IJN255" s="11"/>
      <c r="IJO255" s="11"/>
      <c r="IJP255" s="11"/>
      <c r="IJQ255" s="11"/>
      <c r="IJR255" s="11"/>
      <c r="IJS255" s="11"/>
      <c r="IJT255" s="11"/>
      <c r="IJU255" s="11"/>
      <c r="IJV255" s="11"/>
      <c r="IJW255" s="11"/>
      <c r="IJX255" s="11"/>
      <c r="IJY255" s="11"/>
      <c r="IJZ255" s="11"/>
      <c r="IKA255" s="11"/>
      <c r="IKB255" s="11"/>
      <c r="IKC255" s="11"/>
      <c r="IKD255" s="11"/>
      <c r="IKE255" s="11"/>
      <c r="IKF255" s="11"/>
      <c r="IKG255" s="11"/>
      <c r="IKH255" s="11"/>
      <c r="IKI255" s="11"/>
      <c r="IKJ255" s="11"/>
      <c r="IKK255" s="11"/>
      <c r="IKL255" s="11"/>
      <c r="IKM255" s="11"/>
      <c r="IKN255" s="11"/>
      <c r="IKO255" s="11"/>
      <c r="IKP255" s="11"/>
      <c r="IKQ255" s="11"/>
      <c r="IKR255" s="11"/>
      <c r="IKS255" s="11"/>
      <c r="IKT255" s="11"/>
      <c r="IKU255" s="11"/>
      <c r="IKV255" s="11"/>
      <c r="IKW255" s="11"/>
      <c r="IKX255" s="11"/>
      <c r="IKY255" s="11"/>
      <c r="IKZ255" s="11"/>
      <c r="ILA255" s="11"/>
      <c r="ILB255" s="11"/>
      <c r="ILC255" s="11"/>
      <c r="ILD255" s="11"/>
      <c r="ILE255" s="11"/>
      <c r="ILF255" s="11"/>
      <c r="ILG255" s="11"/>
      <c r="ILH255" s="11"/>
      <c r="ILI255" s="11"/>
      <c r="ILJ255" s="11"/>
      <c r="ILK255" s="11"/>
      <c r="ILL255" s="11"/>
      <c r="ILM255" s="11"/>
      <c r="ILN255" s="11"/>
      <c r="ILO255" s="11"/>
      <c r="ILP255" s="11"/>
      <c r="ILQ255" s="11"/>
      <c r="ILR255" s="11"/>
      <c r="ILS255" s="11"/>
      <c r="ILT255" s="11"/>
      <c r="ILU255" s="11"/>
      <c r="ILV255" s="11"/>
      <c r="ILW255" s="11"/>
      <c r="ILX255" s="11"/>
      <c r="ILY255" s="11"/>
      <c r="ILZ255" s="11"/>
      <c r="IMA255" s="11"/>
      <c r="IMB255" s="11"/>
      <c r="IMC255" s="11"/>
      <c r="IMD255" s="11"/>
      <c r="IME255" s="11"/>
      <c r="IMF255" s="11"/>
      <c r="IMG255" s="11"/>
      <c r="IMH255" s="11"/>
      <c r="IMI255" s="11"/>
      <c r="IMJ255" s="11"/>
      <c r="IMK255" s="11"/>
      <c r="IML255" s="11"/>
      <c r="IMM255" s="11"/>
      <c r="IMN255" s="11"/>
      <c r="IMO255" s="11"/>
      <c r="IMP255" s="11"/>
      <c r="IMQ255" s="11"/>
      <c r="IMR255" s="11"/>
      <c r="IMS255" s="11"/>
      <c r="IMT255" s="11"/>
      <c r="IMU255" s="11"/>
      <c r="IMV255" s="11"/>
      <c r="IMW255" s="11"/>
      <c r="IMX255" s="11"/>
      <c r="IMY255" s="11"/>
      <c r="IMZ255" s="11"/>
      <c r="INA255" s="11"/>
      <c r="INB255" s="11"/>
      <c r="INC255" s="11"/>
      <c r="IND255" s="11"/>
      <c r="INE255" s="11"/>
      <c r="INF255" s="11"/>
      <c r="ING255" s="11"/>
      <c r="INH255" s="11"/>
      <c r="INI255" s="11"/>
      <c r="INJ255" s="11"/>
      <c r="INK255" s="11"/>
      <c r="INL255" s="11"/>
      <c r="INM255" s="11"/>
      <c r="INN255" s="11"/>
      <c r="INO255" s="11"/>
      <c r="INP255" s="11"/>
      <c r="INQ255" s="11"/>
      <c r="INR255" s="11"/>
      <c r="INS255" s="11"/>
      <c r="INT255" s="11"/>
      <c r="INU255" s="11"/>
      <c r="INV255" s="11"/>
      <c r="INW255" s="11"/>
      <c r="INX255" s="11"/>
      <c r="INY255" s="11"/>
      <c r="INZ255" s="11"/>
      <c r="IOA255" s="11"/>
      <c r="IOB255" s="11"/>
      <c r="IOC255" s="11"/>
      <c r="IOD255" s="11"/>
      <c r="IOE255" s="11"/>
      <c r="IOF255" s="11"/>
      <c r="IOG255" s="11"/>
      <c r="IOH255" s="11"/>
      <c r="IOI255" s="11"/>
      <c r="IOJ255" s="11"/>
      <c r="IOK255" s="11"/>
      <c r="IOL255" s="11"/>
      <c r="IOM255" s="11"/>
      <c r="ION255" s="11"/>
      <c r="IOO255" s="11"/>
      <c r="IOP255" s="11"/>
      <c r="IOQ255" s="11"/>
      <c r="IOR255" s="11"/>
      <c r="IOS255" s="11"/>
      <c r="IOT255" s="11"/>
      <c r="IOU255" s="11"/>
      <c r="IOV255" s="11"/>
      <c r="IOW255" s="11"/>
      <c r="IOX255" s="11"/>
      <c r="IOY255" s="11"/>
      <c r="IOZ255" s="11"/>
      <c r="IPA255" s="11"/>
      <c r="IPB255" s="11"/>
      <c r="IPC255" s="11"/>
      <c r="IPD255" s="11"/>
      <c r="IPE255" s="11"/>
      <c r="IPF255" s="11"/>
      <c r="IPG255" s="11"/>
      <c r="IPH255" s="11"/>
      <c r="IPI255" s="11"/>
      <c r="IPJ255" s="11"/>
      <c r="IPK255" s="11"/>
      <c r="IPL255" s="11"/>
      <c r="IPM255" s="11"/>
      <c r="IPN255" s="11"/>
      <c r="IPO255" s="11"/>
      <c r="IPP255" s="11"/>
      <c r="IPQ255" s="11"/>
      <c r="IPR255" s="11"/>
      <c r="IPS255" s="11"/>
      <c r="IPT255" s="11"/>
      <c r="IPU255" s="11"/>
      <c r="IPV255" s="11"/>
      <c r="IPW255" s="11"/>
      <c r="IPX255" s="11"/>
      <c r="IPY255" s="11"/>
      <c r="IPZ255" s="11"/>
      <c r="IQA255" s="11"/>
      <c r="IQB255" s="11"/>
      <c r="IQC255" s="11"/>
      <c r="IQD255" s="11"/>
      <c r="IQE255" s="11"/>
      <c r="IQF255" s="11"/>
      <c r="IQG255" s="11"/>
      <c r="IQH255" s="11"/>
      <c r="IQI255" s="11"/>
      <c r="IQJ255" s="11"/>
      <c r="IQK255" s="11"/>
      <c r="IQL255" s="11"/>
      <c r="IQM255" s="11"/>
      <c r="IQN255" s="11"/>
      <c r="IQO255" s="11"/>
      <c r="IQP255" s="11"/>
      <c r="IQQ255" s="11"/>
      <c r="IQR255" s="11"/>
      <c r="IQS255" s="11"/>
      <c r="IQT255" s="11"/>
      <c r="IQU255" s="11"/>
      <c r="IQV255" s="11"/>
      <c r="IQW255" s="11"/>
      <c r="IQX255" s="11"/>
      <c r="IQY255" s="11"/>
      <c r="IQZ255" s="11"/>
      <c r="IRA255" s="11"/>
      <c r="IRB255" s="11"/>
      <c r="IRC255" s="11"/>
      <c r="IRD255" s="11"/>
      <c r="IRE255" s="11"/>
      <c r="IRF255" s="11"/>
      <c r="IRG255" s="11"/>
      <c r="IRH255" s="11"/>
      <c r="IRI255" s="11"/>
      <c r="IRJ255" s="11"/>
      <c r="IRK255" s="11"/>
      <c r="IRL255" s="11"/>
      <c r="IRM255" s="11"/>
      <c r="IRN255" s="11"/>
      <c r="IRO255" s="11"/>
      <c r="IRP255" s="11"/>
      <c r="IRQ255" s="11"/>
      <c r="IRR255" s="11"/>
      <c r="IRS255" s="11"/>
      <c r="IRT255" s="11"/>
      <c r="IRU255" s="11"/>
      <c r="IRV255" s="11"/>
      <c r="IRW255" s="11"/>
      <c r="IRX255" s="11"/>
      <c r="IRY255" s="11"/>
      <c r="IRZ255" s="11"/>
      <c r="ISA255" s="11"/>
      <c r="ISB255" s="11"/>
      <c r="ISC255" s="11"/>
      <c r="ISD255" s="11"/>
      <c r="ISE255" s="11"/>
      <c r="ISF255" s="11"/>
      <c r="ISG255" s="11"/>
      <c r="ISH255" s="11"/>
      <c r="ISI255" s="11"/>
      <c r="ISJ255" s="11"/>
      <c r="ISK255" s="11"/>
      <c r="ISL255" s="11"/>
      <c r="ISM255" s="11"/>
      <c r="ISN255" s="11"/>
      <c r="ISO255" s="11"/>
      <c r="ISP255" s="11"/>
      <c r="ISQ255" s="11"/>
      <c r="ISR255" s="11"/>
      <c r="ISS255" s="11"/>
      <c r="IST255" s="11"/>
      <c r="ISU255" s="11"/>
      <c r="ISV255" s="11"/>
      <c r="ISW255" s="11"/>
      <c r="ISX255" s="11"/>
      <c r="ISY255" s="11"/>
      <c r="ISZ255" s="11"/>
      <c r="ITA255" s="11"/>
      <c r="ITB255" s="11"/>
      <c r="ITC255" s="11"/>
      <c r="ITD255" s="11"/>
      <c r="ITE255" s="11"/>
      <c r="ITF255" s="11"/>
      <c r="ITG255" s="11"/>
      <c r="ITH255" s="11"/>
      <c r="ITI255" s="11"/>
      <c r="ITJ255" s="11"/>
      <c r="ITK255" s="11"/>
      <c r="ITL255" s="11"/>
      <c r="ITM255" s="11"/>
      <c r="ITN255" s="11"/>
      <c r="ITO255" s="11"/>
      <c r="ITP255" s="11"/>
      <c r="ITQ255" s="11"/>
      <c r="ITR255" s="11"/>
      <c r="ITS255" s="11"/>
      <c r="ITT255" s="11"/>
      <c r="ITU255" s="11"/>
      <c r="ITV255" s="11"/>
      <c r="ITW255" s="11"/>
      <c r="ITX255" s="11"/>
      <c r="ITY255" s="11"/>
      <c r="ITZ255" s="11"/>
      <c r="IUA255" s="11"/>
      <c r="IUB255" s="11"/>
      <c r="IUC255" s="11"/>
      <c r="IUD255" s="11"/>
      <c r="IUE255" s="11"/>
      <c r="IUF255" s="11"/>
      <c r="IUG255" s="11"/>
      <c r="IUH255" s="11"/>
      <c r="IUI255" s="11"/>
      <c r="IUJ255" s="11"/>
      <c r="IUK255" s="11"/>
      <c r="IUL255" s="11"/>
      <c r="IUM255" s="11"/>
      <c r="IUN255" s="11"/>
      <c r="IUO255" s="11"/>
      <c r="IUP255" s="11"/>
      <c r="IUQ255" s="11"/>
      <c r="IUR255" s="11"/>
      <c r="IUS255" s="11"/>
      <c r="IUT255" s="11"/>
      <c r="IUU255" s="11"/>
      <c r="IUV255" s="11"/>
      <c r="IUW255" s="11"/>
      <c r="IUX255" s="11"/>
      <c r="IUY255" s="11"/>
      <c r="IUZ255" s="11"/>
      <c r="IVA255" s="11"/>
      <c r="IVB255" s="11"/>
      <c r="IVC255" s="11"/>
      <c r="IVD255" s="11"/>
      <c r="IVE255" s="11"/>
      <c r="IVF255" s="11"/>
      <c r="IVG255" s="11"/>
      <c r="IVH255" s="11"/>
      <c r="IVI255" s="11"/>
      <c r="IVJ255" s="11"/>
      <c r="IVK255" s="11"/>
      <c r="IVL255" s="11"/>
      <c r="IVM255" s="11"/>
      <c r="IVN255" s="11"/>
      <c r="IVO255" s="11"/>
      <c r="IVP255" s="11"/>
      <c r="IVQ255" s="11"/>
      <c r="IVR255" s="11"/>
      <c r="IVS255" s="11"/>
      <c r="IVT255" s="11"/>
      <c r="IVU255" s="11"/>
      <c r="IVV255" s="11"/>
      <c r="IVW255" s="11"/>
      <c r="IVX255" s="11"/>
      <c r="IVY255" s="11"/>
      <c r="IVZ255" s="11"/>
      <c r="IWA255" s="11"/>
      <c r="IWB255" s="11"/>
      <c r="IWC255" s="11"/>
      <c r="IWD255" s="11"/>
      <c r="IWE255" s="11"/>
      <c r="IWF255" s="11"/>
      <c r="IWG255" s="11"/>
      <c r="IWH255" s="11"/>
      <c r="IWI255" s="11"/>
      <c r="IWJ255" s="11"/>
      <c r="IWK255" s="11"/>
      <c r="IWL255" s="11"/>
      <c r="IWM255" s="11"/>
      <c r="IWN255" s="11"/>
      <c r="IWO255" s="11"/>
      <c r="IWP255" s="11"/>
      <c r="IWQ255" s="11"/>
      <c r="IWR255" s="11"/>
      <c r="IWS255" s="11"/>
      <c r="IWT255" s="11"/>
      <c r="IWU255" s="11"/>
      <c r="IWV255" s="11"/>
      <c r="IWW255" s="11"/>
      <c r="IWX255" s="11"/>
      <c r="IWY255" s="11"/>
      <c r="IWZ255" s="11"/>
      <c r="IXA255" s="11"/>
      <c r="IXB255" s="11"/>
      <c r="IXC255" s="11"/>
      <c r="IXD255" s="11"/>
      <c r="IXE255" s="11"/>
      <c r="IXF255" s="11"/>
      <c r="IXG255" s="11"/>
      <c r="IXH255" s="11"/>
      <c r="IXI255" s="11"/>
      <c r="IXJ255" s="11"/>
      <c r="IXK255" s="11"/>
      <c r="IXL255" s="11"/>
      <c r="IXM255" s="11"/>
      <c r="IXN255" s="11"/>
      <c r="IXO255" s="11"/>
      <c r="IXP255" s="11"/>
      <c r="IXQ255" s="11"/>
      <c r="IXR255" s="11"/>
      <c r="IXS255" s="11"/>
      <c r="IXT255" s="11"/>
      <c r="IXU255" s="11"/>
      <c r="IXV255" s="11"/>
      <c r="IXW255" s="11"/>
      <c r="IXX255" s="11"/>
      <c r="IXY255" s="11"/>
      <c r="IXZ255" s="11"/>
      <c r="IYA255" s="11"/>
      <c r="IYB255" s="11"/>
      <c r="IYC255" s="11"/>
      <c r="IYD255" s="11"/>
      <c r="IYE255" s="11"/>
      <c r="IYF255" s="11"/>
      <c r="IYG255" s="11"/>
      <c r="IYH255" s="11"/>
      <c r="IYI255" s="11"/>
      <c r="IYJ255" s="11"/>
      <c r="IYK255" s="11"/>
      <c r="IYL255" s="11"/>
      <c r="IYM255" s="11"/>
      <c r="IYN255" s="11"/>
      <c r="IYO255" s="11"/>
      <c r="IYP255" s="11"/>
      <c r="IYQ255" s="11"/>
      <c r="IYR255" s="11"/>
      <c r="IYS255" s="11"/>
      <c r="IYT255" s="11"/>
      <c r="IYU255" s="11"/>
      <c r="IYV255" s="11"/>
      <c r="IYW255" s="11"/>
      <c r="IYX255" s="11"/>
      <c r="IYY255" s="11"/>
      <c r="IYZ255" s="11"/>
      <c r="IZA255" s="11"/>
      <c r="IZB255" s="11"/>
      <c r="IZC255" s="11"/>
      <c r="IZD255" s="11"/>
      <c r="IZE255" s="11"/>
      <c r="IZF255" s="11"/>
      <c r="IZG255" s="11"/>
      <c r="IZH255" s="11"/>
      <c r="IZI255" s="11"/>
      <c r="IZJ255" s="11"/>
      <c r="IZK255" s="11"/>
      <c r="IZL255" s="11"/>
      <c r="IZM255" s="11"/>
      <c r="IZN255" s="11"/>
      <c r="IZO255" s="11"/>
      <c r="IZP255" s="11"/>
      <c r="IZQ255" s="11"/>
      <c r="IZR255" s="11"/>
      <c r="IZS255" s="11"/>
      <c r="IZT255" s="11"/>
      <c r="IZU255" s="11"/>
      <c r="IZV255" s="11"/>
      <c r="IZW255" s="11"/>
      <c r="IZX255" s="11"/>
      <c r="IZY255" s="11"/>
      <c r="IZZ255" s="11"/>
      <c r="JAA255" s="11"/>
      <c r="JAB255" s="11"/>
      <c r="JAC255" s="11"/>
      <c r="JAD255" s="11"/>
      <c r="JAE255" s="11"/>
      <c r="JAF255" s="11"/>
      <c r="JAG255" s="11"/>
      <c r="JAH255" s="11"/>
      <c r="JAI255" s="11"/>
      <c r="JAJ255" s="11"/>
      <c r="JAK255" s="11"/>
      <c r="JAL255" s="11"/>
      <c r="JAM255" s="11"/>
      <c r="JAN255" s="11"/>
      <c r="JAO255" s="11"/>
      <c r="JAP255" s="11"/>
      <c r="JAQ255" s="11"/>
      <c r="JAR255" s="11"/>
      <c r="JAS255" s="11"/>
      <c r="JAT255" s="11"/>
      <c r="JAU255" s="11"/>
      <c r="JAV255" s="11"/>
      <c r="JAW255" s="11"/>
      <c r="JAX255" s="11"/>
      <c r="JAY255" s="11"/>
      <c r="JAZ255" s="11"/>
      <c r="JBA255" s="11"/>
      <c r="JBB255" s="11"/>
      <c r="JBC255" s="11"/>
      <c r="JBD255" s="11"/>
      <c r="JBE255" s="11"/>
      <c r="JBF255" s="11"/>
      <c r="JBG255" s="11"/>
      <c r="JBH255" s="11"/>
      <c r="JBI255" s="11"/>
      <c r="JBJ255" s="11"/>
      <c r="JBK255" s="11"/>
      <c r="JBL255" s="11"/>
      <c r="JBM255" s="11"/>
      <c r="JBN255" s="11"/>
      <c r="JBO255" s="11"/>
      <c r="JBP255" s="11"/>
      <c r="JBQ255" s="11"/>
      <c r="JBR255" s="11"/>
      <c r="JBS255" s="11"/>
      <c r="JBT255" s="11"/>
      <c r="JBU255" s="11"/>
      <c r="JBV255" s="11"/>
      <c r="JBW255" s="11"/>
      <c r="JBX255" s="11"/>
      <c r="JBY255" s="11"/>
      <c r="JBZ255" s="11"/>
      <c r="JCA255" s="11"/>
      <c r="JCB255" s="11"/>
      <c r="JCC255" s="11"/>
      <c r="JCD255" s="11"/>
      <c r="JCE255" s="11"/>
      <c r="JCF255" s="11"/>
      <c r="JCG255" s="11"/>
      <c r="JCH255" s="11"/>
      <c r="JCI255" s="11"/>
      <c r="JCJ255" s="11"/>
      <c r="JCK255" s="11"/>
      <c r="JCL255" s="11"/>
      <c r="JCM255" s="11"/>
      <c r="JCN255" s="11"/>
      <c r="JCO255" s="11"/>
      <c r="JCP255" s="11"/>
      <c r="JCQ255" s="11"/>
      <c r="JCR255" s="11"/>
      <c r="JCS255" s="11"/>
      <c r="JCT255" s="11"/>
      <c r="JCU255" s="11"/>
      <c r="JCV255" s="11"/>
      <c r="JCW255" s="11"/>
      <c r="JCX255" s="11"/>
      <c r="JCY255" s="11"/>
      <c r="JCZ255" s="11"/>
      <c r="JDA255" s="11"/>
      <c r="JDB255" s="11"/>
      <c r="JDC255" s="11"/>
      <c r="JDD255" s="11"/>
      <c r="JDE255" s="11"/>
      <c r="JDF255" s="11"/>
      <c r="JDG255" s="11"/>
      <c r="JDH255" s="11"/>
      <c r="JDI255" s="11"/>
      <c r="JDJ255" s="11"/>
      <c r="JDK255" s="11"/>
      <c r="JDL255" s="11"/>
      <c r="JDM255" s="11"/>
      <c r="JDN255" s="11"/>
      <c r="JDO255" s="11"/>
      <c r="JDP255" s="11"/>
      <c r="JDQ255" s="11"/>
      <c r="JDR255" s="11"/>
      <c r="JDS255" s="11"/>
      <c r="JDT255" s="11"/>
      <c r="JDU255" s="11"/>
      <c r="JDV255" s="11"/>
      <c r="JDW255" s="11"/>
      <c r="JDX255" s="11"/>
      <c r="JDY255" s="11"/>
      <c r="JDZ255" s="11"/>
      <c r="JEA255" s="11"/>
      <c r="JEB255" s="11"/>
      <c r="JEC255" s="11"/>
      <c r="JED255" s="11"/>
      <c r="JEE255" s="11"/>
      <c r="JEF255" s="11"/>
      <c r="JEG255" s="11"/>
      <c r="JEH255" s="11"/>
      <c r="JEI255" s="11"/>
      <c r="JEJ255" s="11"/>
      <c r="JEK255" s="11"/>
      <c r="JEL255" s="11"/>
      <c r="JEM255" s="11"/>
      <c r="JEN255" s="11"/>
      <c r="JEO255" s="11"/>
      <c r="JEP255" s="11"/>
      <c r="JEQ255" s="11"/>
      <c r="JER255" s="11"/>
      <c r="JES255" s="11"/>
      <c r="JET255" s="11"/>
      <c r="JEU255" s="11"/>
      <c r="JEV255" s="11"/>
      <c r="JEW255" s="11"/>
      <c r="JEX255" s="11"/>
      <c r="JEY255" s="11"/>
      <c r="JEZ255" s="11"/>
      <c r="JFA255" s="11"/>
      <c r="JFB255" s="11"/>
      <c r="JFC255" s="11"/>
      <c r="JFD255" s="11"/>
      <c r="JFE255" s="11"/>
      <c r="JFF255" s="11"/>
      <c r="JFG255" s="11"/>
      <c r="JFH255" s="11"/>
      <c r="JFI255" s="11"/>
      <c r="JFJ255" s="11"/>
      <c r="JFK255" s="11"/>
      <c r="JFL255" s="11"/>
      <c r="JFM255" s="11"/>
      <c r="JFN255" s="11"/>
      <c r="JFO255" s="11"/>
      <c r="JFP255" s="11"/>
      <c r="JFQ255" s="11"/>
      <c r="JFR255" s="11"/>
      <c r="JFS255" s="11"/>
      <c r="JFT255" s="11"/>
      <c r="JFU255" s="11"/>
      <c r="JFV255" s="11"/>
      <c r="JFW255" s="11"/>
      <c r="JFX255" s="11"/>
      <c r="JFY255" s="11"/>
      <c r="JFZ255" s="11"/>
      <c r="JGA255" s="11"/>
      <c r="JGB255" s="11"/>
      <c r="JGC255" s="11"/>
      <c r="JGD255" s="11"/>
      <c r="JGE255" s="11"/>
      <c r="JGF255" s="11"/>
      <c r="JGG255" s="11"/>
      <c r="JGH255" s="11"/>
      <c r="JGI255" s="11"/>
      <c r="JGJ255" s="11"/>
      <c r="JGK255" s="11"/>
      <c r="JGL255" s="11"/>
      <c r="JGM255" s="11"/>
      <c r="JGN255" s="11"/>
      <c r="JGO255" s="11"/>
      <c r="JGP255" s="11"/>
      <c r="JGQ255" s="11"/>
      <c r="JGR255" s="11"/>
      <c r="JGS255" s="11"/>
      <c r="JGT255" s="11"/>
      <c r="JGU255" s="11"/>
      <c r="JGV255" s="11"/>
      <c r="JGW255" s="11"/>
      <c r="JGX255" s="11"/>
      <c r="JGY255" s="11"/>
      <c r="JGZ255" s="11"/>
      <c r="JHA255" s="11"/>
      <c r="JHB255" s="11"/>
      <c r="JHC255" s="11"/>
      <c r="JHD255" s="11"/>
      <c r="JHE255" s="11"/>
      <c r="JHF255" s="11"/>
      <c r="JHG255" s="11"/>
      <c r="JHH255" s="11"/>
      <c r="JHI255" s="11"/>
      <c r="JHJ255" s="11"/>
      <c r="JHK255" s="11"/>
      <c r="JHL255" s="11"/>
      <c r="JHM255" s="11"/>
      <c r="JHN255" s="11"/>
      <c r="JHO255" s="11"/>
      <c r="JHP255" s="11"/>
      <c r="JHQ255" s="11"/>
      <c r="JHR255" s="11"/>
      <c r="JHS255" s="11"/>
      <c r="JHT255" s="11"/>
      <c r="JHU255" s="11"/>
      <c r="JHV255" s="11"/>
      <c r="JHW255" s="11"/>
      <c r="JHX255" s="11"/>
      <c r="JHY255" s="11"/>
      <c r="JHZ255" s="11"/>
      <c r="JIA255" s="11"/>
      <c r="JIB255" s="11"/>
      <c r="JIC255" s="11"/>
      <c r="JID255" s="11"/>
      <c r="JIE255" s="11"/>
      <c r="JIF255" s="11"/>
      <c r="JIG255" s="11"/>
      <c r="JIH255" s="11"/>
      <c r="JII255" s="11"/>
      <c r="JIJ255" s="11"/>
      <c r="JIK255" s="11"/>
      <c r="JIL255" s="11"/>
      <c r="JIM255" s="11"/>
      <c r="JIN255" s="11"/>
      <c r="JIO255" s="11"/>
      <c r="JIP255" s="11"/>
      <c r="JIQ255" s="11"/>
      <c r="JIR255" s="11"/>
      <c r="JIS255" s="11"/>
      <c r="JIT255" s="11"/>
      <c r="JIU255" s="11"/>
      <c r="JIV255" s="11"/>
      <c r="JIW255" s="11"/>
      <c r="JIX255" s="11"/>
      <c r="JIY255" s="11"/>
      <c r="JIZ255" s="11"/>
      <c r="JJA255" s="11"/>
      <c r="JJB255" s="11"/>
      <c r="JJC255" s="11"/>
      <c r="JJD255" s="11"/>
      <c r="JJE255" s="11"/>
      <c r="JJF255" s="11"/>
      <c r="JJG255" s="11"/>
      <c r="JJH255" s="11"/>
      <c r="JJI255" s="11"/>
      <c r="JJJ255" s="11"/>
      <c r="JJK255" s="11"/>
      <c r="JJL255" s="11"/>
      <c r="JJM255" s="11"/>
      <c r="JJN255" s="11"/>
      <c r="JJO255" s="11"/>
      <c r="JJP255" s="11"/>
      <c r="JJQ255" s="11"/>
      <c r="JJR255" s="11"/>
      <c r="JJS255" s="11"/>
      <c r="JJT255" s="11"/>
      <c r="JJU255" s="11"/>
      <c r="JJV255" s="11"/>
      <c r="JJW255" s="11"/>
      <c r="JJX255" s="11"/>
      <c r="JJY255" s="11"/>
      <c r="JJZ255" s="11"/>
      <c r="JKA255" s="11"/>
      <c r="JKB255" s="11"/>
      <c r="JKC255" s="11"/>
      <c r="JKD255" s="11"/>
      <c r="JKE255" s="11"/>
      <c r="JKF255" s="11"/>
      <c r="JKG255" s="11"/>
      <c r="JKH255" s="11"/>
      <c r="JKI255" s="11"/>
      <c r="JKJ255" s="11"/>
      <c r="JKK255" s="11"/>
      <c r="JKL255" s="11"/>
      <c r="JKM255" s="11"/>
      <c r="JKN255" s="11"/>
      <c r="JKO255" s="11"/>
      <c r="JKP255" s="11"/>
      <c r="JKQ255" s="11"/>
      <c r="JKR255" s="11"/>
      <c r="JKS255" s="11"/>
      <c r="JKT255" s="11"/>
      <c r="JKU255" s="11"/>
      <c r="JKV255" s="11"/>
      <c r="JKW255" s="11"/>
      <c r="JKX255" s="11"/>
      <c r="JKY255" s="11"/>
      <c r="JKZ255" s="11"/>
      <c r="JLA255" s="11"/>
      <c r="JLB255" s="11"/>
      <c r="JLC255" s="11"/>
      <c r="JLD255" s="11"/>
      <c r="JLE255" s="11"/>
      <c r="JLF255" s="11"/>
      <c r="JLG255" s="11"/>
      <c r="JLH255" s="11"/>
      <c r="JLI255" s="11"/>
      <c r="JLJ255" s="11"/>
      <c r="JLK255" s="11"/>
      <c r="JLL255" s="11"/>
      <c r="JLM255" s="11"/>
      <c r="JLN255" s="11"/>
      <c r="JLO255" s="11"/>
      <c r="JLP255" s="11"/>
      <c r="JLQ255" s="11"/>
      <c r="JLR255" s="11"/>
      <c r="JLS255" s="11"/>
      <c r="JLT255" s="11"/>
      <c r="JLU255" s="11"/>
      <c r="JLV255" s="11"/>
      <c r="JLW255" s="11"/>
      <c r="JLX255" s="11"/>
      <c r="JLY255" s="11"/>
      <c r="JLZ255" s="11"/>
      <c r="JMA255" s="11"/>
      <c r="JMB255" s="11"/>
      <c r="JMC255" s="11"/>
      <c r="JMD255" s="11"/>
      <c r="JME255" s="11"/>
      <c r="JMF255" s="11"/>
      <c r="JMG255" s="11"/>
      <c r="JMH255" s="11"/>
      <c r="JMI255" s="11"/>
      <c r="JMJ255" s="11"/>
      <c r="JMK255" s="11"/>
      <c r="JML255" s="11"/>
      <c r="JMM255" s="11"/>
      <c r="JMN255" s="11"/>
      <c r="JMO255" s="11"/>
      <c r="JMP255" s="11"/>
      <c r="JMQ255" s="11"/>
      <c r="JMR255" s="11"/>
      <c r="JMS255" s="11"/>
      <c r="JMT255" s="11"/>
      <c r="JMU255" s="11"/>
      <c r="JMV255" s="11"/>
      <c r="JMW255" s="11"/>
      <c r="JMX255" s="11"/>
      <c r="JMY255" s="11"/>
      <c r="JMZ255" s="11"/>
      <c r="JNA255" s="11"/>
      <c r="JNB255" s="11"/>
      <c r="JNC255" s="11"/>
      <c r="JND255" s="11"/>
      <c r="JNE255" s="11"/>
      <c r="JNF255" s="11"/>
      <c r="JNG255" s="11"/>
      <c r="JNH255" s="11"/>
      <c r="JNI255" s="11"/>
      <c r="JNJ255" s="11"/>
      <c r="JNK255" s="11"/>
      <c r="JNL255" s="11"/>
      <c r="JNM255" s="11"/>
      <c r="JNN255" s="11"/>
      <c r="JNO255" s="11"/>
      <c r="JNP255" s="11"/>
      <c r="JNQ255" s="11"/>
      <c r="JNR255" s="11"/>
      <c r="JNS255" s="11"/>
      <c r="JNT255" s="11"/>
      <c r="JNU255" s="11"/>
      <c r="JNV255" s="11"/>
      <c r="JNW255" s="11"/>
      <c r="JNX255" s="11"/>
      <c r="JNY255" s="11"/>
      <c r="JNZ255" s="11"/>
      <c r="JOA255" s="11"/>
      <c r="JOB255" s="11"/>
      <c r="JOC255" s="11"/>
      <c r="JOD255" s="11"/>
      <c r="JOE255" s="11"/>
      <c r="JOF255" s="11"/>
      <c r="JOG255" s="11"/>
      <c r="JOH255" s="11"/>
      <c r="JOI255" s="11"/>
      <c r="JOJ255" s="11"/>
      <c r="JOK255" s="11"/>
      <c r="JOL255" s="11"/>
      <c r="JOM255" s="11"/>
      <c r="JON255" s="11"/>
      <c r="JOO255" s="11"/>
      <c r="JOP255" s="11"/>
      <c r="JOQ255" s="11"/>
      <c r="JOR255" s="11"/>
      <c r="JOS255" s="11"/>
      <c r="JOT255" s="11"/>
      <c r="JOU255" s="11"/>
      <c r="JOV255" s="11"/>
      <c r="JOW255" s="11"/>
      <c r="JOX255" s="11"/>
      <c r="JOY255" s="11"/>
      <c r="JOZ255" s="11"/>
      <c r="JPA255" s="11"/>
      <c r="JPB255" s="11"/>
      <c r="JPC255" s="11"/>
      <c r="JPD255" s="11"/>
      <c r="JPE255" s="11"/>
      <c r="JPF255" s="11"/>
      <c r="JPG255" s="11"/>
      <c r="JPH255" s="11"/>
      <c r="JPI255" s="11"/>
      <c r="JPJ255" s="11"/>
      <c r="JPK255" s="11"/>
      <c r="JPL255" s="11"/>
      <c r="JPM255" s="11"/>
      <c r="JPN255" s="11"/>
      <c r="JPO255" s="11"/>
      <c r="JPP255" s="11"/>
      <c r="JPQ255" s="11"/>
      <c r="JPR255" s="11"/>
      <c r="JPS255" s="11"/>
      <c r="JPT255" s="11"/>
      <c r="JPU255" s="11"/>
      <c r="JPV255" s="11"/>
      <c r="JPW255" s="11"/>
      <c r="JPX255" s="11"/>
      <c r="JPY255" s="11"/>
      <c r="JPZ255" s="11"/>
      <c r="JQA255" s="11"/>
      <c r="JQB255" s="11"/>
      <c r="JQC255" s="11"/>
      <c r="JQD255" s="11"/>
      <c r="JQE255" s="11"/>
      <c r="JQF255" s="11"/>
      <c r="JQG255" s="11"/>
      <c r="JQH255" s="11"/>
      <c r="JQI255" s="11"/>
      <c r="JQJ255" s="11"/>
      <c r="JQK255" s="11"/>
      <c r="JQL255" s="11"/>
      <c r="JQM255" s="11"/>
      <c r="JQN255" s="11"/>
      <c r="JQO255" s="11"/>
      <c r="JQP255" s="11"/>
      <c r="JQQ255" s="11"/>
      <c r="JQR255" s="11"/>
      <c r="JQS255" s="11"/>
      <c r="JQT255" s="11"/>
      <c r="JQU255" s="11"/>
      <c r="JQV255" s="11"/>
      <c r="JQW255" s="11"/>
      <c r="JQX255" s="11"/>
      <c r="JQY255" s="11"/>
      <c r="JQZ255" s="11"/>
      <c r="JRA255" s="11"/>
      <c r="JRB255" s="11"/>
      <c r="JRC255" s="11"/>
      <c r="JRD255" s="11"/>
      <c r="JRE255" s="11"/>
      <c r="JRF255" s="11"/>
      <c r="JRG255" s="11"/>
      <c r="JRH255" s="11"/>
      <c r="JRI255" s="11"/>
      <c r="JRJ255" s="11"/>
      <c r="JRK255" s="11"/>
      <c r="JRL255" s="11"/>
      <c r="JRM255" s="11"/>
      <c r="JRN255" s="11"/>
      <c r="JRO255" s="11"/>
      <c r="JRP255" s="11"/>
      <c r="JRQ255" s="11"/>
      <c r="JRR255" s="11"/>
      <c r="JRS255" s="11"/>
      <c r="JRT255" s="11"/>
      <c r="JRU255" s="11"/>
      <c r="JRV255" s="11"/>
      <c r="JRW255" s="11"/>
      <c r="JRX255" s="11"/>
      <c r="JRY255" s="11"/>
      <c r="JRZ255" s="11"/>
      <c r="JSA255" s="11"/>
      <c r="JSB255" s="11"/>
      <c r="JSC255" s="11"/>
      <c r="JSD255" s="11"/>
      <c r="JSE255" s="11"/>
      <c r="JSF255" s="11"/>
      <c r="JSG255" s="11"/>
      <c r="JSH255" s="11"/>
      <c r="JSI255" s="11"/>
      <c r="JSJ255" s="11"/>
      <c r="JSK255" s="11"/>
      <c r="JSL255" s="11"/>
      <c r="JSM255" s="11"/>
      <c r="JSN255" s="11"/>
      <c r="JSO255" s="11"/>
      <c r="JSP255" s="11"/>
      <c r="JSQ255" s="11"/>
      <c r="JSR255" s="11"/>
      <c r="JSS255" s="11"/>
      <c r="JST255" s="11"/>
      <c r="JSU255" s="11"/>
      <c r="JSV255" s="11"/>
      <c r="JSW255" s="11"/>
      <c r="JSX255" s="11"/>
      <c r="JSY255" s="11"/>
      <c r="JSZ255" s="11"/>
      <c r="JTA255" s="11"/>
      <c r="JTB255" s="11"/>
      <c r="JTC255" s="11"/>
      <c r="JTD255" s="11"/>
      <c r="JTE255" s="11"/>
      <c r="JTF255" s="11"/>
      <c r="JTG255" s="11"/>
      <c r="JTH255" s="11"/>
      <c r="JTI255" s="11"/>
      <c r="JTJ255" s="11"/>
      <c r="JTK255" s="11"/>
      <c r="JTL255" s="11"/>
      <c r="JTM255" s="11"/>
      <c r="JTN255" s="11"/>
      <c r="JTO255" s="11"/>
      <c r="JTP255" s="11"/>
      <c r="JTQ255" s="11"/>
      <c r="JTR255" s="11"/>
      <c r="JTS255" s="11"/>
      <c r="JTT255" s="11"/>
      <c r="JTU255" s="11"/>
      <c r="JTV255" s="11"/>
      <c r="JTW255" s="11"/>
      <c r="JTX255" s="11"/>
      <c r="JTY255" s="11"/>
      <c r="JTZ255" s="11"/>
      <c r="JUA255" s="11"/>
      <c r="JUB255" s="11"/>
      <c r="JUC255" s="11"/>
      <c r="JUD255" s="11"/>
      <c r="JUE255" s="11"/>
      <c r="JUF255" s="11"/>
      <c r="JUG255" s="11"/>
      <c r="JUH255" s="11"/>
      <c r="JUI255" s="11"/>
      <c r="JUJ255" s="11"/>
      <c r="JUK255" s="11"/>
      <c r="JUL255" s="11"/>
      <c r="JUM255" s="11"/>
      <c r="JUN255" s="11"/>
      <c r="JUO255" s="11"/>
      <c r="JUP255" s="11"/>
      <c r="JUQ255" s="11"/>
      <c r="JUR255" s="11"/>
      <c r="JUS255" s="11"/>
      <c r="JUT255" s="11"/>
      <c r="JUU255" s="11"/>
      <c r="JUV255" s="11"/>
      <c r="JUW255" s="11"/>
      <c r="JUX255" s="11"/>
      <c r="JUY255" s="11"/>
      <c r="JUZ255" s="11"/>
      <c r="JVA255" s="11"/>
      <c r="JVB255" s="11"/>
      <c r="JVC255" s="11"/>
      <c r="JVD255" s="11"/>
      <c r="JVE255" s="11"/>
      <c r="JVF255" s="11"/>
      <c r="JVG255" s="11"/>
      <c r="JVH255" s="11"/>
      <c r="JVI255" s="11"/>
      <c r="JVJ255" s="11"/>
      <c r="JVK255" s="11"/>
      <c r="JVL255" s="11"/>
      <c r="JVM255" s="11"/>
      <c r="JVN255" s="11"/>
      <c r="JVO255" s="11"/>
      <c r="JVP255" s="11"/>
      <c r="JVQ255" s="11"/>
      <c r="JVR255" s="11"/>
      <c r="JVS255" s="11"/>
      <c r="JVT255" s="11"/>
      <c r="JVU255" s="11"/>
      <c r="JVV255" s="11"/>
      <c r="JVW255" s="11"/>
      <c r="JVX255" s="11"/>
      <c r="JVY255" s="11"/>
      <c r="JVZ255" s="11"/>
      <c r="JWA255" s="11"/>
      <c r="JWB255" s="11"/>
      <c r="JWC255" s="11"/>
      <c r="JWD255" s="11"/>
      <c r="JWE255" s="11"/>
      <c r="JWF255" s="11"/>
      <c r="JWG255" s="11"/>
      <c r="JWH255" s="11"/>
      <c r="JWI255" s="11"/>
      <c r="JWJ255" s="11"/>
      <c r="JWK255" s="11"/>
      <c r="JWL255" s="11"/>
      <c r="JWM255" s="11"/>
      <c r="JWN255" s="11"/>
      <c r="JWO255" s="11"/>
      <c r="JWP255" s="11"/>
      <c r="JWQ255" s="11"/>
      <c r="JWR255" s="11"/>
      <c r="JWS255" s="11"/>
      <c r="JWT255" s="11"/>
      <c r="JWU255" s="11"/>
      <c r="JWV255" s="11"/>
      <c r="JWW255" s="11"/>
      <c r="JWX255" s="11"/>
      <c r="JWY255" s="11"/>
      <c r="JWZ255" s="11"/>
      <c r="JXA255" s="11"/>
      <c r="JXB255" s="11"/>
      <c r="JXC255" s="11"/>
      <c r="JXD255" s="11"/>
      <c r="JXE255" s="11"/>
      <c r="JXF255" s="11"/>
      <c r="JXG255" s="11"/>
      <c r="JXH255" s="11"/>
      <c r="JXI255" s="11"/>
      <c r="JXJ255" s="11"/>
      <c r="JXK255" s="11"/>
      <c r="JXL255" s="11"/>
      <c r="JXM255" s="11"/>
      <c r="JXN255" s="11"/>
      <c r="JXO255" s="11"/>
      <c r="JXP255" s="11"/>
      <c r="JXQ255" s="11"/>
      <c r="JXR255" s="11"/>
      <c r="JXS255" s="11"/>
      <c r="JXT255" s="11"/>
      <c r="JXU255" s="11"/>
      <c r="JXV255" s="11"/>
      <c r="JXW255" s="11"/>
      <c r="JXX255" s="11"/>
      <c r="JXY255" s="11"/>
      <c r="JXZ255" s="11"/>
      <c r="JYA255" s="11"/>
      <c r="JYB255" s="11"/>
      <c r="JYC255" s="11"/>
      <c r="JYD255" s="11"/>
      <c r="JYE255" s="11"/>
      <c r="JYF255" s="11"/>
      <c r="JYG255" s="11"/>
      <c r="JYH255" s="11"/>
      <c r="JYI255" s="11"/>
      <c r="JYJ255" s="11"/>
      <c r="JYK255" s="11"/>
      <c r="JYL255" s="11"/>
      <c r="JYM255" s="11"/>
      <c r="JYN255" s="11"/>
      <c r="JYO255" s="11"/>
      <c r="JYP255" s="11"/>
      <c r="JYQ255" s="11"/>
      <c r="JYR255" s="11"/>
      <c r="JYS255" s="11"/>
      <c r="JYT255" s="11"/>
      <c r="JYU255" s="11"/>
      <c r="JYV255" s="11"/>
      <c r="JYW255" s="11"/>
      <c r="JYX255" s="11"/>
      <c r="JYY255" s="11"/>
      <c r="JYZ255" s="11"/>
      <c r="JZA255" s="11"/>
      <c r="JZB255" s="11"/>
      <c r="JZC255" s="11"/>
      <c r="JZD255" s="11"/>
      <c r="JZE255" s="11"/>
      <c r="JZF255" s="11"/>
      <c r="JZG255" s="11"/>
      <c r="JZH255" s="11"/>
      <c r="JZI255" s="11"/>
      <c r="JZJ255" s="11"/>
      <c r="JZK255" s="11"/>
      <c r="JZL255" s="11"/>
      <c r="JZM255" s="11"/>
      <c r="JZN255" s="11"/>
      <c r="JZO255" s="11"/>
      <c r="JZP255" s="11"/>
      <c r="JZQ255" s="11"/>
      <c r="JZR255" s="11"/>
      <c r="JZS255" s="11"/>
      <c r="JZT255" s="11"/>
      <c r="JZU255" s="11"/>
      <c r="JZV255" s="11"/>
      <c r="JZW255" s="11"/>
      <c r="JZX255" s="11"/>
      <c r="JZY255" s="11"/>
      <c r="JZZ255" s="11"/>
      <c r="KAA255" s="11"/>
      <c r="KAB255" s="11"/>
      <c r="KAC255" s="11"/>
      <c r="KAD255" s="11"/>
      <c r="KAE255" s="11"/>
      <c r="KAF255" s="11"/>
      <c r="KAG255" s="11"/>
      <c r="KAH255" s="11"/>
      <c r="KAI255" s="11"/>
      <c r="KAJ255" s="11"/>
      <c r="KAK255" s="11"/>
      <c r="KAL255" s="11"/>
      <c r="KAM255" s="11"/>
      <c r="KAN255" s="11"/>
      <c r="KAO255" s="11"/>
      <c r="KAP255" s="11"/>
      <c r="KAQ255" s="11"/>
      <c r="KAR255" s="11"/>
      <c r="KAS255" s="11"/>
      <c r="KAT255" s="11"/>
      <c r="KAU255" s="11"/>
      <c r="KAV255" s="11"/>
      <c r="KAW255" s="11"/>
      <c r="KAX255" s="11"/>
      <c r="KAY255" s="11"/>
      <c r="KAZ255" s="11"/>
      <c r="KBA255" s="11"/>
      <c r="KBB255" s="11"/>
      <c r="KBC255" s="11"/>
      <c r="KBD255" s="11"/>
      <c r="KBE255" s="11"/>
      <c r="KBF255" s="11"/>
      <c r="KBG255" s="11"/>
      <c r="KBH255" s="11"/>
      <c r="KBI255" s="11"/>
      <c r="KBJ255" s="11"/>
      <c r="KBK255" s="11"/>
      <c r="KBL255" s="11"/>
      <c r="KBM255" s="11"/>
      <c r="KBN255" s="11"/>
      <c r="KBO255" s="11"/>
      <c r="KBP255" s="11"/>
      <c r="KBQ255" s="11"/>
      <c r="KBR255" s="11"/>
      <c r="KBS255" s="11"/>
      <c r="KBT255" s="11"/>
      <c r="KBU255" s="11"/>
      <c r="KBV255" s="11"/>
      <c r="KBW255" s="11"/>
      <c r="KBX255" s="11"/>
      <c r="KBY255" s="11"/>
      <c r="KBZ255" s="11"/>
      <c r="KCA255" s="11"/>
      <c r="KCB255" s="11"/>
      <c r="KCC255" s="11"/>
      <c r="KCD255" s="11"/>
      <c r="KCE255" s="11"/>
      <c r="KCF255" s="11"/>
      <c r="KCG255" s="11"/>
      <c r="KCH255" s="11"/>
      <c r="KCI255" s="11"/>
      <c r="KCJ255" s="11"/>
      <c r="KCK255" s="11"/>
      <c r="KCL255" s="11"/>
      <c r="KCM255" s="11"/>
      <c r="KCN255" s="11"/>
      <c r="KCO255" s="11"/>
      <c r="KCP255" s="11"/>
      <c r="KCQ255" s="11"/>
      <c r="KCR255" s="11"/>
      <c r="KCS255" s="11"/>
      <c r="KCT255" s="11"/>
      <c r="KCU255" s="11"/>
      <c r="KCV255" s="11"/>
      <c r="KCW255" s="11"/>
      <c r="KCX255" s="11"/>
      <c r="KCY255" s="11"/>
      <c r="KCZ255" s="11"/>
      <c r="KDA255" s="11"/>
      <c r="KDB255" s="11"/>
      <c r="KDC255" s="11"/>
      <c r="KDD255" s="11"/>
      <c r="KDE255" s="11"/>
      <c r="KDF255" s="11"/>
      <c r="KDG255" s="11"/>
      <c r="KDH255" s="11"/>
      <c r="KDI255" s="11"/>
      <c r="KDJ255" s="11"/>
      <c r="KDK255" s="11"/>
      <c r="KDL255" s="11"/>
      <c r="KDM255" s="11"/>
      <c r="KDN255" s="11"/>
      <c r="KDO255" s="11"/>
      <c r="KDP255" s="11"/>
      <c r="KDQ255" s="11"/>
      <c r="KDR255" s="11"/>
      <c r="KDS255" s="11"/>
      <c r="KDT255" s="11"/>
      <c r="KDU255" s="11"/>
      <c r="KDV255" s="11"/>
      <c r="KDW255" s="11"/>
      <c r="KDX255" s="11"/>
      <c r="KDY255" s="11"/>
      <c r="KDZ255" s="11"/>
      <c r="KEA255" s="11"/>
      <c r="KEB255" s="11"/>
      <c r="KEC255" s="11"/>
      <c r="KED255" s="11"/>
      <c r="KEE255" s="11"/>
      <c r="KEF255" s="11"/>
      <c r="KEG255" s="11"/>
      <c r="KEH255" s="11"/>
      <c r="KEI255" s="11"/>
      <c r="KEJ255" s="11"/>
      <c r="KEK255" s="11"/>
      <c r="KEL255" s="11"/>
      <c r="KEM255" s="11"/>
      <c r="KEN255" s="11"/>
      <c r="KEO255" s="11"/>
      <c r="KEP255" s="11"/>
      <c r="KEQ255" s="11"/>
      <c r="KER255" s="11"/>
      <c r="KES255" s="11"/>
      <c r="KET255" s="11"/>
      <c r="KEU255" s="11"/>
      <c r="KEV255" s="11"/>
      <c r="KEW255" s="11"/>
      <c r="KEX255" s="11"/>
      <c r="KEY255" s="11"/>
      <c r="KEZ255" s="11"/>
      <c r="KFA255" s="11"/>
      <c r="KFB255" s="11"/>
      <c r="KFC255" s="11"/>
      <c r="KFD255" s="11"/>
      <c r="KFE255" s="11"/>
      <c r="KFF255" s="11"/>
      <c r="KFG255" s="11"/>
      <c r="KFH255" s="11"/>
      <c r="KFI255" s="11"/>
      <c r="KFJ255" s="11"/>
      <c r="KFK255" s="11"/>
      <c r="KFL255" s="11"/>
      <c r="KFM255" s="11"/>
      <c r="KFN255" s="11"/>
      <c r="KFO255" s="11"/>
      <c r="KFP255" s="11"/>
      <c r="KFQ255" s="11"/>
      <c r="KFR255" s="11"/>
      <c r="KFS255" s="11"/>
      <c r="KFT255" s="11"/>
      <c r="KFU255" s="11"/>
      <c r="KFV255" s="11"/>
      <c r="KFW255" s="11"/>
      <c r="KFX255" s="11"/>
      <c r="KFY255" s="11"/>
      <c r="KFZ255" s="11"/>
      <c r="KGA255" s="11"/>
      <c r="KGB255" s="11"/>
      <c r="KGC255" s="11"/>
      <c r="KGD255" s="11"/>
      <c r="KGE255" s="11"/>
      <c r="KGF255" s="11"/>
      <c r="KGG255" s="11"/>
      <c r="KGH255" s="11"/>
      <c r="KGI255" s="11"/>
      <c r="KGJ255" s="11"/>
      <c r="KGK255" s="11"/>
      <c r="KGL255" s="11"/>
      <c r="KGM255" s="11"/>
      <c r="KGN255" s="11"/>
      <c r="KGO255" s="11"/>
      <c r="KGP255" s="11"/>
      <c r="KGQ255" s="11"/>
      <c r="KGR255" s="11"/>
      <c r="KGS255" s="11"/>
      <c r="KGT255" s="11"/>
      <c r="KGU255" s="11"/>
      <c r="KGV255" s="11"/>
      <c r="KGW255" s="11"/>
      <c r="KGX255" s="11"/>
      <c r="KGY255" s="11"/>
      <c r="KGZ255" s="11"/>
      <c r="KHA255" s="11"/>
      <c r="KHB255" s="11"/>
      <c r="KHC255" s="11"/>
      <c r="KHD255" s="11"/>
      <c r="KHE255" s="11"/>
      <c r="KHF255" s="11"/>
      <c r="KHG255" s="11"/>
      <c r="KHH255" s="11"/>
      <c r="KHI255" s="11"/>
      <c r="KHJ255" s="11"/>
      <c r="KHK255" s="11"/>
      <c r="KHL255" s="11"/>
      <c r="KHM255" s="11"/>
      <c r="KHN255" s="11"/>
      <c r="KHO255" s="11"/>
      <c r="KHP255" s="11"/>
      <c r="KHQ255" s="11"/>
      <c r="KHR255" s="11"/>
      <c r="KHS255" s="11"/>
      <c r="KHT255" s="11"/>
      <c r="KHU255" s="11"/>
      <c r="KHV255" s="11"/>
      <c r="KHW255" s="11"/>
      <c r="KHX255" s="11"/>
      <c r="KHY255" s="11"/>
      <c r="KHZ255" s="11"/>
      <c r="KIA255" s="11"/>
      <c r="KIB255" s="11"/>
      <c r="KIC255" s="11"/>
      <c r="KID255" s="11"/>
      <c r="KIE255" s="11"/>
      <c r="KIF255" s="11"/>
      <c r="KIG255" s="11"/>
      <c r="KIH255" s="11"/>
      <c r="KII255" s="11"/>
      <c r="KIJ255" s="11"/>
      <c r="KIK255" s="11"/>
      <c r="KIL255" s="11"/>
      <c r="KIM255" s="11"/>
      <c r="KIN255" s="11"/>
      <c r="KIO255" s="11"/>
      <c r="KIP255" s="11"/>
      <c r="KIQ255" s="11"/>
      <c r="KIR255" s="11"/>
      <c r="KIS255" s="11"/>
      <c r="KIT255" s="11"/>
      <c r="KIU255" s="11"/>
      <c r="KIV255" s="11"/>
      <c r="KIW255" s="11"/>
      <c r="KIX255" s="11"/>
      <c r="KIY255" s="11"/>
      <c r="KIZ255" s="11"/>
      <c r="KJA255" s="11"/>
      <c r="KJB255" s="11"/>
      <c r="KJC255" s="11"/>
      <c r="KJD255" s="11"/>
      <c r="KJE255" s="11"/>
      <c r="KJF255" s="11"/>
      <c r="KJG255" s="11"/>
      <c r="KJH255" s="11"/>
      <c r="KJI255" s="11"/>
      <c r="KJJ255" s="11"/>
      <c r="KJK255" s="11"/>
      <c r="KJL255" s="11"/>
      <c r="KJM255" s="11"/>
      <c r="KJN255" s="11"/>
      <c r="KJO255" s="11"/>
      <c r="KJP255" s="11"/>
      <c r="KJQ255" s="11"/>
      <c r="KJR255" s="11"/>
      <c r="KJS255" s="11"/>
      <c r="KJT255" s="11"/>
      <c r="KJU255" s="11"/>
      <c r="KJV255" s="11"/>
      <c r="KJW255" s="11"/>
      <c r="KJX255" s="11"/>
      <c r="KJY255" s="11"/>
      <c r="KJZ255" s="11"/>
      <c r="KKA255" s="11"/>
      <c r="KKB255" s="11"/>
      <c r="KKC255" s="11"/>
      <c r="KKD255" s="11"/>
      <c r="KKE255" s="11"/>
      <c r="KKF255" s="11"/>
      <c r="KKG255" s="11"/>
      <c r="KKH255" s="11"/>
      <c r="KKI255" s="11"/>
      <c r="KKJ255" s="11"/>
      <c r="KKK255" s="11"/>
      <c r="KKL255" s="11"/>
      <c r="KKM255" s="11"/>
      <c r="KKN255" s="11"/>
      <c r="KKO255" s="11"/>
      <c r="KKP255" s="11"/>
      <c r="KKQ255" s="11"/>
      <c r="KKR255" s="11"/>
      <c r="KKS255" s="11"/>
      <c r="KKT255" s="11"/>
      <c r="KKU255" s="11"/>
      <c r="KKV255" s="11"/>
      <c r="KKW255" s="11"/>
      <c r="KKX255" s="11"/>
      <c r="KKY255" s="11"/>
      <c r="KKZ255" s="11"/>
      <c r="KLA255" s="11"/>
      <c r="KLB255" s="11"/>
      <c r="KLC255" s="11"/>
      <c r="KLD255" s="11"/>
      <c r="KLE255" s="11"/>
      <c r="KLF255" s="11"/>
      <c r="KLG255" s="11"/>
      <c r="KLH255" s="11"/>
      <c r="KLI255" s="11"/>
      <c r="KLJ255" s="11"/>
      <c r="KLK255" s="11"/>
      <c r="KLL255" s="11"/>
      <c r="KLM255" s="11"/>
      <c r="KLN255" s="11"/>
      <c r="KLO255" s="11"/>
      <c r="KLP255" s="11"/>
      <c r="KLQ255" s="11"/>
      <c r="KLR255" s="11"/>
      <c r="KLS255" s="11"/>
      <c r="KLT255" s="11"/>
      <c r="KLU255" s="11"/>
      <c r="KLV255" s="11"/>
      <c r="KLW255" s="11"/>
      <c r="KLX255" s="11"/>
      <c r="KLY255" s="11"/>
      <c r="KLZ255" s="11"/>
      <c r="KMA255" s="11"/>
      <c r="KMB255" s="11"/>
      <c r="KMC255" s="11"/>
      <c r="KMD255" s="11"/>
      <c r="KME255" s="11"/>
      <c r="KMF255" s="11"/>
      <c r="KMG255" s="11"/>
      <c r="KMH255" s="11"/>
      <c r="KMI255" s="11"/>
      <c r="KMJ255" s="11"/>
      <c r="KMK255" s="11"/>
      <c r="KML255" s="11"/>
      <c r="KMM255" s="11"/>
      <c r="KMN255" s="11"/>
      <c r="KMO255" s="11"/>
      <c r="KMP255" s="11"/>
      <c r="KMQ255" s="11"/>
      <c r="KMR255" s="11"/>
      <c r="KMS255" s="11"/>
      <c r="KMT255" s="11"/>
      <c r="KMU255" s="11"/>
      <c r="KMV255" s="11"/>
      <c r="KMW255" s="11"/>
      <c r="KMX255" s="11"/>
      <c r="KMY255" s="11"/>
      <c r="KMZ255" s="11"/>
      <c r="KNA255" s="11"/>
      <c r="KNB255" s="11"/>
      <c r="KNC255" s="11"/>
      <c r="KND255" s="11"/>
      <c r="KNE255" s="11"/>
      <c r="KNF255" s="11"/>
      <c r="KNG255" s="11"/>
      <c r="KNH255" s="11"/>
      <c r="KNI255" s="11"/>
      <c r="KNJ255" s="11"/>
      <c r="KNK255" s="11"/>
      <c r="KNL255" s="11"/>
      <c r="KNM255" s="11"/>
      <c r="KNN255" s="11"/>
      <c r="KNO255" s="11"/>
      <c r="KNP255" s="11"/>
      <c r="KNQ255" s="11"/>
      <c r="KNR255" s="11"/>
      <c r="KNS255" s="11"/>
      <c r="KNT255" s="11"/>
      <c r="KNU255" s="11"/>
      <c r="KNV255" s="11"/>
      <c r="KNW255" s="11"/>
      <c r="KNX255" s="11"/>
      <c r="KNY255" s="11"/>
      <c r="KNZ255" s="11"/>
      <c r="KOA255" s="11"/>
      <c r="KOB255" s="11"/>
      <c r="KOC255" s="11"/>
      <c r="KOD255" s="11"/>
      <c r="KOE255" s="11"/>
      <c r="KOF255" s="11"/>
      <c r="KOG255" s="11"/>
      <c r="KOH255" s="11"/>
      <c r="KOI255" s="11"/>
      <c r="KOJ255" s="11"/>
      <c r="KOK255" s="11"/>
      <c r="KOL255" s="11"/>
      <c r="KOM255" s="11"/>
      <c r="KON255" s="11"/>
      <c r="KOO255" s="11"/>
      <c r="KOP255" s="11"/>
      <c r="KOQ255" s="11"/>
      <c r="KOR255" s="11"/>
      <c r="KOS255" s="11"/>
      <c r="KOT255" s="11"/>
      <c r="KOU255" s="11"/>
      <c r="KOV255" s="11"/>
      <c r="KOW255" s="11"/>
      <c r="KOX255" s="11"/>
      <c r="KOY255" s="11"/>
      <c r="KOZ255" s="11"/>
      <c r="KPA255" s="11"/>
      <c r="KPB255" s="11"/>
      <c r="KPC255" s="11"/>
      <c r="KPD255" s="11"/>
      <c r="KPE255" s="11"/>
      <c r="KPF255" s="11"/>
      <c r="KPG255" s="11"/>
      <c r="KPH255" s="11"/>
      <c r="KPI255" s="11"/>
      <c r="KPJ255" s="11"/>
      <c r="KPK255" s="11"/>
      <c r="KPL255" s="11"/>
      <c r="KPM255" s="11"/>
      <c r="KPN255" s="11"/>
      <c r="KPO255" s="11"/>
      <c r="KPP255" s="11"/>
      <c r="KPQ255" s="11"/>
      <c r="KPR255" s="11"/>
      <c r="KPS255" s="11"/>
      <c r="KPT255" s="11"/>
      <c r="KPU255" s="11"/>
      <c r="KPV255" s="11"/>
      <c r="KPW255" s="11"/>
      <c r="KPX255" s="11"/>
      <c r="KPY255" s="11"/>
      <c r="KPZ255" s="11"/>
      <c r="KQA255" s="11"/>
      <c r="KQB255" s="11"/>
      <c r="KQC255" s="11"/>
      <c r="KQD255" s="11"/>
      <c r="KQE255" s="11"/>
      <c r="KQF255" s="11"/>
      <c r="KQG255" s="11"/>
      <c r="KQH255" s="11"/>
      <c r="KQI255" s="11"/>
      <c r="KQJ255" s="11"/>
      <c r="KQK255" s="11"/>
      <c r="KQL255" s="11"/>
      <c r="KQM255" s="11"/>
      <c r="KQN255" s="11"/>
      <c r="KQO255" s="11"/>
      <c r="KQP255" s="11"/>
      <c r="KQQ255" s="11"/>
      <c r="KQR255" s="11"/>
      <c r="KQS255" s="11"/>
      <c r="KQT255" s="11"/>
      <c r="KQU255" s="11"/>
      <c r="KQV255" s="11"/>
      <c r="KQW255" s="11"/>
      <c r="KQX255" s="11"/>
      <c r="KQY255" s="11"/>
      <c r="KQZ255" s="11"/>
      <c r="KRA255" s="11"/>
      <c r="KRB255" s="11"/>
      <c r="KRC255" s="11"/>
      <c r="KRD255" s="11"/>
      <c r="KRE255" s="11"/>
      <c r="KRF255" s="11"/>
      <c r="KRG255" s="11"/>
      <c r="KRH255" s="11"/>
      <c r="KRI255" s="11"/>
      <c r="KRJ255" s="11"/>
      <c r="KRK255" s="11"/>
      <c r="KRL255" s="11"/>
      <c r="KRM255" s="11"/>
      <c r="KRN255" s="11"/>
      <c r="KRO255" s="11"/>
      <c r="KRP255" s="11"/>
      <c r="KRQ255" s="11"/>
      <c r="KRR255" s="11"/>
      <c r="KRS255" s="11"/>
      <c r="KRT255" s="11"/>
      <c r="KRU255" s="11"/>
      <c r="KRV255" s="11"/>
      <c r="KRW255" s="11"/>
      <c r="KRX255" s="11"/>
      <c r="KRY255" s="11"/>
      <c r="KRZ255" s="11"/>
      <c r="KSA255" s="11"/>
      <c r="KSB255" s="11"/>
      <c r="KSC255" s="11"/>
      <c r="KSD255" s="11"/>
      <c r="KSE255" s="11"/>
      <c r="KSF255" s="11"/>
      <c r="KSG255" s="11"/>
      <c r="KSH255" s="11"/>
      <c r="KSI255" s="11"/>
      <c r="KSJ255" s="11"/>
      <c r="KSK255" s="11"/>
      <c r="KSL255" s="11"/>
      <c r="KSM255" s="11"/>
      <c r="KSN255" s="11"/>
      <c r="KSO255" s="11"/>
      <c r="KSP255" s="11"/>
      <c r="KSQ255" s="11"/>
      <c r="KSR255" s="11"/>
      <c r="KSS255" s="11"/>
      <c r="KST255" s="11"/>
      <c r="KSU255" s="11"/>
      <c r="KSV255" s="11"/>
      <c r="KSW255" s="11"/>
      <c r="KSX255" s="11"/>
      <c r="KSY255" s="11"/>
      <c r="KSZ255" s="11"/>
      <c r="KTA255" s="11"/>
      <c r="KTB255" s="11"/>
      <c r="KTC255" s="11"/>
      <c r="KTD255" s="11"/>
      <c r="KTE255" s="11"/>
      <c r="KTF255" s="11"/>
      <c r="KTG255" s="11"/>
      <c r="KTH255" s="11"/>
      <c r="KTI255" s="11"/>
      <c r="KTJ255" s="11"/>
      <c r="KTK255" s="11"/>
      <c r="KTL255" s="11"/>
      <c r="KTM255" s="11"/>
      <c r="KTN255" s="11"/>
      <c r="KTO255" s="11"/>
      <c r="KTP255" s="11"/>
      <c r="KTQ255" s="11"/>
      <c r="KTR255" s="11"/>
      <c r="KTS255" s="11"/>
      <c r="KTT255" s="11"/>
      <c r="KTU255" s="11"/>
      <c r="KTV255" s="11"/>
      <c r="KTW255" s="11"/>
      <c r="KTX255" s="11"/>
      <c r="KTY255" s="11"/>
      <c r="KTZ255" s="11"/>
      <c r="KUA255" s="11"/>
      <c r="KUB255" s="11"/>
      <c r="KUC255" s="11"/>
      <c r="KUD255" s="11"/>
      <c r="KUE255" s="11"/>
      <c r="KUF255" s="11"/>
      <c r="KUG255" s="11"/>
      <c r="KUH255" s="11"/>
      <c r="KUI255" s="11"/>
      <c r="KUJ255" s="11"/>
      <c r="KUK255" s="11"/>
      <c r="KUL255" s="11"/>
      <c r="KUM255" s="11"/>
      <c r="KUN255" s="11"/>
      <c r="KUO255" s="11"/>
      <c r="KUP255" s="11"/>
      <c r="KUQ255" s="11"/>
      <c r="KUR255" s="11"/>
      <c r="KUS255" s="11"/>
      <c r="KUT255" s="11"/>
      <c r="KUU255" s="11"/>
      <c r="KUV255" s="11"/>
      <c r="KUW255" s="11"/>
      <c r="KUX255" s="11"/>
      <c r="KUY255" s="11"/>
      <c r="KUZ255" s="11"/>
      <c r="KVA255" s="11"/>
      <c r="KVB255" s="11"/>
      <c r="KVC255" s="11"/>
      <c r="KVD255" s="11"/>
      <c r="KVE255" s="11"/>
      <c r="KVF255" s="11"/>
      <c r="KVG255" s="11"/>
      <c r="KVH255" s="11"/>
      <c r="KVI255" s="11"/>
      <c r="KVJ255" s="11"/>
      <c r="KVK255" s="11"/>
      <c r="KVL255" s="11"/>
      <c r="KVM255" s="11"/>
      <c r="KVN255" s="11"/>
      <c r="KVO255" s="11"/>
      <c r="KVP255" s="11"/>
      <c r="KVQ255" s="11"/>
      <c r="KVR255" s="11"/>
      <c r="KVS255" s="11"/>
      <c r="KVT255" s="11"/>
      <c r="KVU255" s="11"/>
      <c r="KVV255" s="11"/>
      <c r="KVW255" s="11"/>
      <c r="KVX255" s="11"/>
      <c r="KVY255" s="11"/>
      <c r="KVZ255" s="11"/>
      <c r="KWA255" s="11"/>
      <c r="KWB255" s="11"/>
      <c r="KWC255" s="11"/>
      <c r="KWD255" s="11"/>
      <c r="KWE255" s="11"/>
      <c r="KWF255" s="11"/>
      <c r="KWG255" s="11"/>
      <c r="KWH255" s="11"/>
      <c r="KWI255" s="11"/>
      <c r="KWJ255" s="11"/>
      <c r="KWK255" s="11"/>
      <c r="KWL255" s="11"/>
      <c r="KWM255" s="11"/>
      <c r="KWN255" s="11"/>
      <c r="KWO255" s="11"/>
      <c r="KWP255" s="11"/>
      <c r="KWQ255" s="11"/>
      <c r="KWR255" s="11"/>
      <c r="KWS255" s="11"/>
      <c r="KWT255" s="11"/>
      <c r="KWU255" s="11"/>
      <c r="KWV255" s="11"/>
      <c r="KWW255" s="11"/>
      <c r="KWX255" s="11"/>
      <c r="KWY255" s="11"/>
      <c r="KWZ255" s="11"/>
      <c r="KXA255" s="11"/>
      <c r="KXB255" s="11"/>
      <c r="KXC255" s="11"/>
      <c r="KXD255" s="11"/>
      <c r="KXE255" s="11"/>
      <c r="KXF255" s="11"/>
      <c r="KXG255" s="11"/>
      <c r="KXH255" s="11"/>
      <c r="KXI255" s="11"/>
      <c r="KXJ255" s="11"/>
      <c r="KXK255" s="11"/>
      <c r="KXL255" s="11"/>
      <c r="KXM255" s="11"/>
      <c r="KXN255" s="11"/>
      <c r="KXO255" s="11"/>
      <c r="KXP255" s="11"/>
      <c r="KXQ255" s="11"/>
      <c r="KXR255" s="11"/>
      <c r="KXS255" s="11"/>
      <c r="KXT255" s="11"/>
      <c r="KXU255" s="11"/>
      <c r="KXV255" s="11"/>
      <c r="KXW255" s="11"/>
      <c r="KXX255" s="11"/>
      <c r="KXY255" s="11"/>
      <c r="KXZ255" s="11"/>
      <c r="KYA255" s="11"/>
      <c r="KYB255" s="11"/>
      <c r="KYC255" s="11"/>
      <c r="KYD255" s="11"/>
      <c r="KYE255" s="11"/>
      <c r="KYF255" s="11"/>
      <c r="KYG255" s="11"/>
      <c r="KYH255" s="11"/>
      <c r="KYI255" s="11"/>
      <c r="KYJ255" s="11"/>
      <c r="KYK255" s="11"/>
      <c r="KYL255" s="11"/>
      <c r="KYM255" s="11"/>
      <c r="KYN255" s="11"/>
      <c r="KYO255" s="11"/>
      <c r="KYP255" s="11"/>
      <c r="KYQ255" s="11"/>
      <c r="KYR255" s="11"/>
      <c r="KYS255" s="11"/>
      <c r="KYT255" s="11"/>
      <c r="KYU255" s="11"/>
      <c r="KYV255" s="11"/>
      <c r="KYW255" s="11"/>
      <c r="KYX255" s="11"/>
      <c r="KYY255" s="11"/>
      <c r="KYZ255" s="11"/>
      <c r="KZA255" s="11"/>
      <c r="KZB255" s="11"/>
      <c r="KZC255" s="11"/>
      <c r="KZD255" s="11"/>
      <c r="KZE255" s="11"/>
      <c r="KZF255" s="11"/>
      <c r="KZG255" s="11"/>
      <c r="KZH255" s="11"/>
      <c r="KZI255" s="11"/>
      <c r="KZJ255" s="11"/>
      <c r="KZK255" s="11"/>
      <c r="KZL255" s="11"/>
      <c r="KZM255" s="11"/>
      <c r="KZN255" s="11"/>
      <c r="KZO255" s="11"/>
      <c r="KZP255" s="11"/>
      <c r="KZQ255" s="11"/>
      <c r="KZR255" s="11"/>
      <c r="KZS255" s="11"/>
      <c r="KZT255" s="11"/>
      <c r="KZU255" s="11"/>
      <c r="KZV255" s="11"/>
      <c r="KZW255" s="11"/>
      <c r="KZX255" s="11"/>
      <c r="KZY255" s="11"/>
      <c r="KZZ255" s="11"/>
      <c r="LAA255" s="11"/>
      <c r="LAB255" s="11"/>
      <c r="LAC255" s="11"/>
      <c r="LAD255" s="11"/>
      <c r="LAE255" s="11"/>
      <c r="LAF255" s="11"/>
      <c r="LAG255" s="11"/>
      <c r="LAH255" s="11"/>
      <c r="LAI255" s="11"/>
      <c r="LAJ255" s="11"/>
      <c r="LAK255" s="11"/>
      <c r="LAL255" s="11"/>
      <c r="LAM255" s="11"/>
      <c r="LAN255" s="11"/>
      <c r="LAO255" s="11"/>
      <c r="LAP255" s="11"/>
      <c r="LAQ255" s="11"/>
      <c r="LAR255" s="11"/>
      <c r="LAS255" s="11"/>
      <c r="LAT255" s="11"/>
      <c r="LAU255" s="11"/>
      <c r="LAV255" s="11"/>
      <c r="LAW255" s="11"/>
      <c r="LAX255" s="11"/>
      <c r="LAY255" s="11"/>
      <c r="LAZ255" s="11"/>
      <c r="LBA255" s="11"/>
      <c r="LBB255" s="11"/>
      <c r="LBC255" s="11"/>
      <c r="LBD255" s="11"/>
      <c r="LBE255" s="11"/>
      <c r="LBF255" s="11"/>
      <c r="LBG255" s="11"/>
      <c r="LBH255" s="11"/>
      <c r="LBI255" s="11"/>
      <c r="LBJ255" s="11"/>
      <c r="LBK255" s="11"/>
      <c r="LBL255" s="11"/>
      <c r="LBM255" s="11"/>
      <c r="LBN255" s="11"/>
      <c r="LBO255" s="11"/>
      <c r="LBP255" s="11"/>
      <c r="LBQ255" s="11"/>
      <c r="LBR255" s="11"/>
      <c r="LBS255" s="11"/>
      <c r="LBT255" s="11"/>
      <c r="LBU255" s="11"/>
      <c r="LBV255" s="11"/>
      <c r="LBW255" s="11"/>
      <c r="LBX255" s="11"/>
      <c r="LBY255" s="11"/>
      <c r="LBZ255" s="11"/>
      <c r="LCA255" s="11"/>
      <c r="LCB255" s="11"/>
      <c r="LCC255" s="11"/>
      <c r="LCD255" s="11"/>
      <c r="LCE255" s="11"/>
      <c r="LCF255" s="11"/>
      <c r="LCG255" s="11"/>
      <c r="LCH255" s="11"/>
      <c r="LCI255" s="11"/>
      <c r="LCJ255" s="11"/>
      <c r="LCK255" s="11"/>
      <c r="LCL255" s="11"/>
      <c r="LCM255" s="11"/>
      <c r="LCN255" s="11"/>
      <c r="LCO255" s="11"/>
      <c r="LCP255" s="11"/>
      <c r="LCQ255" s="11"/>
      <c r="LCR255" s="11"/>
      <c r="LCS255" s="11"/>
      <c r="LCT255" s="11"/>
      <c r="LCU255" s="11"/>
      <c r="LCV255" s="11"/>
      <c r="LCW255" s="11"/>
      <c r="LCX255" s="11"/>
      <c r="LCY255" s="11"/>
      <c r="LCZ255" s="11"/>
      <c r="LDA255" s="11"/>
      <c r="LDB255" s="11"/>
      <c r="LDC255" s="11"/>
      <c r="LDD255" s="11"/>
      <c r="LDE255" s="11"/>
      <c r="LDF255" s="11"/>
      <c r="LDG255" s="11"/>
      <c r="LDH255" s="11"/>
      <c r="LDI255" s="11"/>
      <c r="LDJ255" s="11"/>
      <c r="LDK255" s="11"/>
      <c r="LDL255" s="11"/>
      <c r="LDM255" s="11"/>
      <c r="LDN255" s="11"/>
      <c r="LDO255" s="11"/>
      <c r="LDP255" s="11"/>
      <c r="LDQ255" s="11"/>
      <c r="LDR255" s="11"/>
      <c r="LDS255" s="11"/>
      <c r="LDT255" s="11"/>
      <c r="LDU255" s="11"/>
      <c r="LDV255" s="11"/>
      <c r="LDW255" s="11"/>
      <c r="LDX255" s="11"/>
      <c r="LDY255" s="11"/>
      <c r="LDZ255" s="11"/>
      <c r="LEA255" s="11"/>
      <c r="LEB255" s="11"/>
      <c r="LEC255" s="11"/>
      <c r="LED255" s="11"/>
      <c r="LEE255" s="11"/>
      <c r="LEF255" s="11"/>
      <c r="LEG255" s="11"/>
      <c r="LEH255" s="11"/>
      <c r="LEI255" s="11"/>
      <c r="LEJ255" s="11"/>
      <c r="LEK255" s="11"/>
      <c r="LEL255" s="11"/>
      <c r="LEM255" s="11"/>
      <c r="LEN255" s="11"/>
      <c r="LEO255" s="11"/>
      <c r="LEP255" s="11"/>
      <c r="LEQ255" s="11"/>
      <c r="LER255" s="11"/>
      <c r="LES255" s="11"/>
      <c r="LET255" s="11"/>
      <c r="LEU255" s="11"/>
      <c r="LEV255" s="11"/>
      <c r="LEW255" s="11"/>
      <c r="LEX255" s="11"/>
      <c r="LEY255" s="11"/>
      <c r="LEZ255" s="11"/>
      <c r="LFA255" s="11"/>
      <c r="LFB255" s="11"/>
      <c r="LFC255" s="11"/>
      <c r="LFD255" s="11"/>
      <c r="LFE255" s="11"/>
      <c r="LFF255" s="11"/>
      <c r="LFG255" s="11"/>
      <c r="LFH255" s="11"/>
      <c r="LFI255" s="11"/>
      <c r="LFJ255" s="11"/>
      <c r="LFK255" s="11"/>
      <c r="LFL255" s="11"/>
      <c r="LFM255" s="11"/>
      <c r="LFN255" s="11"/>
      <c r="LFO255" s="11"/>
      <c r="LFP255" s="11"/>
      <c r="LFQ255" s="11"/>
      <c r="LFR255" s="11"/>
      <c r="LFS255" s="11"/>
      <c r="LFT255" s="11"/>
      <c r="LFU255" s="11"/>
      <c r="LFV255" s="11"/>
      <c r="LFW255" s="11"/>
      <c r="LFX255" s="11"/>
      <c r="LFY255" s="11"/>
      <c r="LFZ255" s="11"/>
      <c r="LGA255" s="11"/>
      <c r="LGB255" s="11"/>
      <c r="LGC255" s="11"/>
      <c r="LGD255" s="11"/>
      <c r="LGE255" s="11"/>
      <c r="LGF255" s="11"/>
      <c r="LGG255" s="11"/>
      <c r="LGH255" s="11"/>
      <c r="LGI255" s="11"/>
      <c r="LGJ255" s="11"/>
      <c r="LGK255" s="11"/>
      <c r="LGL255" s="11"/>
      <c r="LGM255" s="11"/>
      <c r="LGN255" s="11"/>
      <c r="LGO255" s="11"/>
      <c r="LGP255" s="11"/>
      <c r="LGQ255" s="11"/>
      <c r="LGR255" s="11"/>
      <c r="LGS255" s="11"/>
      <c r="LGT255" s="11"/>
      <c r="LGU255" s="11"/>
      <c r="LGV255" s="11"/>
      <c r="LGW255" s="11"/>
      <c r="LGX255" s="11"/>
      <c r="LGY255" s="11"/>
      <c r="LGZ255" s="11"/>
      <c r="LHA255" s="11"/>
      <c r="LHB255" s="11"/>
      <c r="LHC255" s="11"/>
      <c r="LHD255" s="11"/>
      <c r="LHE255" s="11"/>
      <c r="LHF255" s="11"/>
      <c r="LHG255" s="11"/>
      <c r="LHH255" s="11"/>
      <c r="LHI255" s="11"/>
      <c r="LHJ255" s="11"/>
      <c r="LHK255" s="11"/>
      <c r="LHL255" s="11"/>
      <c r="LHM255" s="11"/>
      <c r="LHN255" s="11"/>
      <c r="LHO255" s="11"/>
      <c r="LHP255" s="11"/>
      <c r="LHQ255" s="11"/>
      <c r="LHR255" s="11"/>
      <c r="LHS255" s="11"/>
      <c r="LHT255" s="11"/>
      <c r="LHU255" s="11"/>
      <c r="LHV255" s="11"/>
      <c r="LHW255" s="11"/>
      <c r="LHX255" s="11"/>
      <c r="LHY255" s="11"/>
      <c r="LHZ255" s="11"/>
      <c r="LIA255" s="11"/>
      <c r="LIB255" s="11"/>
      <c r="LIC255" s="11"/>
      <c r="LID255" s="11"/>
      <c r="LIE255" s="11"/>
      <c r="LIF255" s="11"/>
      <c r="LIG255" s="11"/>
      <c r="LIH255" s="11"/>
      <c r="LII255" s="11"/>
      <c r="LIJ255" s="11"/>
      <c r="LIK255" s="11"/>
      <c r="LIL255" s="11"/>
      <c r="LIM255" s="11"/>
      <c r="LIN255" s="11"/>
      <c r="LIO255" s="11"/>
      <c r="LIP255" s="11"/>
      <c r="LIQ255" s="11"/>
      <c r="LIR255" s="11"/>
      <c r="LIS255" s="11"/>
      <c r="LIT255" s="11"/>
      <c r="LIU255" s="11"/>
      <c r="LIV255" s="11"/>
      <c r="LIW255" s="11"/>
      <c r="LIX255" s="11"/>
      <c r="LIY255" s="11"/>
      <c r="LIZ255" s="11"/>
      <c r="LJA255" s="11"/>
      <c r="LJB255" s="11"/>
      <c r="LJC255" s="11"/>
      <c r="LJD255" s="11"/>
      <c r="LJE255" s="11"/>
      <c r="LJF255" s="11"/>
      <c r="LJG255" s="11"/>
      <c r="LJH255" s="11"/>
      <c r="LJI255" s="11"/>
      <c r="LJJ255" s="11"/>
      <c r="LJK255" s="11"/>
      <c r="LJL255" s="11"/>
      <c r="LJM255" s="11"/>
      <c r="LJN255" s="11"/>
      <c r="LJO255" s="11"/>
      <c r="LJP255" s="11"/>
      <c r="LJQ255" s="11"/>
      <c r="LJR255" s="11"/>
      <c r="LJS255" s="11"/>
      <c r="LJT255" s="11"/>
      <c r="LJU255" s="11"/>
      <c r="LJV255" s="11"/>
      <c r="LJW255" s="11"/>
      <c r="LJX255" s="11"/>
      <c r="LJY255" s="11"/>
      <c r="LJZ255" s="11"/>
      <c r="LKA255" s="11"/>
      <c r="LKB255" s="11"/>
      <c r="LKC255" s="11"/>
      <c r="LKD255" s="11"/>
      <c r="LKE255" s="11"/>
      <c r="LKF255" s="11"/>
      <c r="LKG255" s="11"/>
      <c r="LKH255" s="11"/>
      <c r="LKI255" s="11"/>
      <c r="LKJ255" s="11"/>
      <c r="LKK255" s="11"/>
      <c r="LKL255" s="11"/>
      <c r="LKM255" s="11"/>
      <c r="LKN255" s="11"/>
      <c r="LKO255" s="11"/>
      <c r="LKP255" s="11"/>
      <c r="LKQ255" s="11"/>
      <c r="LKR255" s="11"/>
      <c r="LKS255" s="11"/>
      <c r="LKT255" s="11"/>
      <c r="LKU255" s="11"/>
      <c r="LKV255" s="11"/>
      <c r="LKW255" s="11"/>
      <c r="LKX255" s="11"/>
      <c r="LKY255" s="11"/>
      <c r="LKZ255" s="11"/>
      <c r="LLA255" s="11"/>
      <c r="LLB255" s="11"/>
      <c r="LLC255" s="11"/>
      <c r="LLD255" s="11"/>
      <c r="LLE255" s="11"/>
      <c r="LLF255" s="11"/>
      <c r="LLG255" s="11"/>
      <c r="LLH255" s="11"/>
      <c r="LLI255" s="11"/>
      <c r="LLJ255" s="11"/>
      <c r="LLK255" s="11"/>
      <c r="LLL255" s="11"/>
      <c r="LLM255" s="11"/>
      <c r="LLN255" s="11"/>
      <c r="LLO255" s="11"/>
      <c r="LLP255" s="11"/>
      <c r="LLQ255" s="11"/>
      <c r="LLR255" s="11"/>
      <c r="LLS255" s="11"/>
      <c r="LLT255" s="11"/>
      <c r="LLU255" s="11"/>
      <c r="LLV255" s="11"/>
      <c r="LLW255" s="11"/>
      <c r="LLX255" s="11"/>
      <c r="LLY255" s="11"/>
      <c r="LLZ255" s="11"/>
      <c r="LMA255" s="11"/>
      <c r="LMB255" s="11"/>
      <c r="LMC255" s="11"/>
      <c r="LMD255" s="11"/>
      <c r="LME255" s="11"/>
      <c r="LMF255" s="11"/>
      <c r="LMG255" s="11"/>
      <c r="LMH255" s="11"/>
      <c r="LMI255" s="11"/>
      <c r="LMJ255" s="11"/>
      <c r="LMK255" s="11"/>
      <c r="LML255" s="11"/>
      <c r="LMM255" s="11"/>
      <c r="LMN255" s="11"/>
      <c r="LMO255" s="11"/>
      <c r="LMP255" s="11"/>
      <c r="LMQ255" s="11"/>
      <c r="LMR255" s="11"/>
      <c r="LMS255" s="11"/>
      <c r="LMT255" s="11"/>
      <c r="LMU255" s="11"/>
      <c r="LMV255" s="11"/>
      <c r="LMW255" s="11"/>
      <c r="LMX255" s="11"/>
      <c r="LMY255" s="11"/>
      <c r="LMZ255" s="11"/>
      <c r="LNA255" s="11"/>
      <c r="LNB255" s="11"/>
      <c r="LNC255" s="11"/>
      <c r="LND255" s="11"/>
      <c r="LNE255" s="11"/>
      <c r="LNF255" s="11"/>
      <c r="LNG255" s="11"/>
      <c r="LNH255" s="11"/>
      <c r="LNI255" s="11"/>
      <c r="LNJ255" s="11"/>
      <c r="LNK255" s="11"/>
      <c r="LNL255" s="11"/>
      <c r="LNM255" s="11"/>
      <c r="LNN255" s="11"/>
      <c r="LNO255" s="11"/>
      <c r="LNP255" s="11"/>
      <c r="LNQ255" s="11"/>
      <c r="LNR255" s="11"/>
      <c r="LNS255" s="11"/>
      <c r="LNT255" s="11"/>
      <c r="LNU255" s="11"/>
      <c r="LNV255" s="11"/>
      <c r="LNW255" s="11"/>
      <c r="LNX255" s="11"/>
      <c r="LNY255" s="11"/>
      <c r="LNZ255" s="11"/>
      <c r="LOA255" s="11"/>
      <c r="LOB255" s="11"/>
      <c r="LOC255" s="11"/>
      <c r="LOD255" s="11"/>
      <c r="LOE255" s="11"/>
      <c r="LOF255" s="11"/>
      <c r="LOG255" s="11"/>
      <c r="LOH255" s="11"/>
      <c r="LOI255" s="11"/>
      <c r="LOJ255" s="11"/>
      <c r="LOK255" s="11"/>
      <c r="LOL255" s="11"/>
      <c r="LOM255" s="11"/>
      <c r="LON255" s="11"/>
      <c r="LOO255" s="11"/>
      <c r="LOP255" s="11"/>
      <c r="LOQ255" s="11"/>
      <c r="LOR255" s="11"/>
      <c r="LOS255" s="11"/>
      <c r="LOT255" s="11"/>
      <c r="LOU255" s="11"/>
      <c r="LOV255" s="11"/>
      <c r="LOW255" s="11"/>
      <c r="LOX255" s="11"/>
      <c r="LOY255" s="11"/>
      <c r="LOZ255" s="11"/>
      <c r="LPA255" s="11"/>
      <c r="LPB255" s="11"/>
      <c r="LPC255" s="11"/>
      <c r="LPD255" s="11"/>
      <c r="LPE255" s="11"/>
      <c r="LPF255" s="11"/>
      <c r="LPG255" s="11"/>
      <c r="LPH255" s="11"/>
      <c r="LPI255" s="11"/>
      <c r="LPJ255" s="11"/>
      <c r="LPK255" s="11"/>
      <c r="LPL255" s="11"/>
      <c r="LPM255" s="11"/>
      <c r="LPN255" s="11"/>
      <c r="LPO255" s="11"/>
      <c r="LPP255" s="11"/>
      <c r="LPQ255" s="11"/>
      <c r="LPR255" s="11"/>
      <c r="LPS255" s="11"/>
      <c r="LPT255" s="11"/>
      <c r="LPU255" s="11"/>
      <c r="LPV255" s="11"/>
      <c r="LPW255" s="11"/>
      <c r="LPX255" s="11"/>
      <c r="LPY255" s="11"/>
      <c r="LPZ255" s="11"/>
      <c r="LQA255" s="11"/>
      <c r="LQB255" s="11"/>
      <c r="LQC255" s="11"/>
      <c r="LQD255" s="11"/>
      <c r="LQE255" s="11"/>
      <c r="LQF255" s="11"/>
      <c r="LQG255" s="11"/>
      <c r="LQH255" s="11"/>
      <c r="LQI255" s="11"/>
      <c r="LQJ255" s="11"/>
      <c r="LQK255" s="11"/>
      <c r="LQL255" s="11"/>
      <c r="LQM255" s="11"/>
      <c r="LQN255" s="11"/>
      <c r="LQO255" s="11"/>
      <c r="LQP255" s="11"/>
      <c r="LQQ255" s="11"/>
      <c r="LQR255" s="11"/>
      <c r="LQS255" s="11"/>
      <c r="LQT255" s="11"/>
      <c r="LQU255" s="11"/>
      <c r="LQV255" s="11"/>
      <c r="LQW255" s="11"/>
      <c r="LQX255" s="11"/>
      <c r="LQY255" s="11"/>
      <c r="LQZ255" s="11"/>
      <c r="LRA255" s="11"/>
      <c r="LRB255" s="11"/>
      <c r="LRC255" s="11"/>
      <c r="LRD255" s="11"/>
      <c r="LRE255" s="11"/>
      <c r="LRF255" s="11"/>
      <c r="LRG255" s="11"/>
      <c r="LRH255" s="11"/>
      <c r="LRI255" s="11"/>
      <c r="LRJ255" s="11"/>
      <c r="LRK255" s="11"/>
      <c r="LRL255" s="11"/>
      <c r="LRM255" s="11"/>
      <c r="LRN255" s="11"/>
      <c r="LRO255" s="11"/>
      <c r="LRP255" s="11"/>
      <c r="LRQ255" s="11"/>
      <c r="LRR255" s="11"/>
      <c r="LRS255" s="11"/>
      <c r="LRT255" s="11"/>
      <c r="LRU255" s="11"/>
      <c r="LRV255" s="11"/>
      <c r="LRW255" s="11"/>
      <c r="LRX255" s="11"/>
      <c r="LRY255" s="11"/>
      <c r="LRZ255" s="11"/>
      <c r="LSA255" s="11"/>
      <c r="LSB255" s="11"/>
      <c r="LSC255" s="11"/>
      <c r="LSD255" s="11"/>
      <c r="LSE255" s="11"/>
      <c r="LSF255" s="11"/>
      <c r="LSG255" s="11"/>
      <c r="LSH255" s="11"/>
      <c r="LSI255" s="11"/>
      <c r="LSJ255" s="11"/>
      <c r="LSK255" s="11"/>
      <c r="LSL255" s="11"/>
      <c r="LSM255" s="11"/>
      <c r="LSN255" s="11"/>
      <c r="LSO255" s="11"/>
      <c r="LSP255" s="11"/>
      <c r="LSQ255" s="11"/>
      <c r="LSR255" s="11"/>
      <c r="LSS255" s="11"/>
      <c r="LST255" s="11"/>
      <c r="LSU255" s="11"/>
      <c r="LSV255" s="11"/>
      <c r="LSW255" s="11"/>
      <c r="LSX255" s="11"/>
      <c r="LSY255" s="11"/>
      <c r="LSZ255" s="11"/>
      <c r="LTA255" s="11"/>
      <c r="LTB255" s="11"/>
      <c r="LTC255" s="11"/>
      <c r="LTD255" s="11"/>
      <c r="LTE255" s="11"/>
      <c r="LTF255" s="11"/>
      <c r="LTG255" s="11"/>
      <c r="LTH255" s="11"/>
      <c r="LTI255" s="11"/>
      <c r="LTJ255" s="11"/>
      <c r="LTK255" s="11"/>
      <c r="LTL255" s="11"/>
      <c r="LTM255" s="11"/>
      <c r="LTN255" s="11"/>
      <c r="LTO255" s="11"/>
      <c r="LTP255" s="11"/>
      <c r="LTQ255" s="11"/>
      <c r="LTR255" s="11"/>
      <c r="LTS255" s="11"/>
      <c r="LTT255" s="11"/>
      <c r="LTU255" s="11"/>
      <c r="LTV255" s="11"/>
      <c r="LTW255" s="11"/>
      <c r="LTX255" s="11"/>
      <c r="LTY255" s="11"/>
      <c r="LTZ255" s="11"/>
      <c r="LUA255" s="11"/>
      <c r="LUB255" s="11"/>
      <c r="LUC255" s="11"/>
      <c r="LUD255" s="11"/>
      <c r="LUE255" s="11"/>
      <c r="LUF255" s="11"/>
      <c r="LUG255" s="11"/>
      <c r="LUH255" s="11"/>
      <c r="LUI255" s="11"/>
      <c r="LUJ255" s="11"/>
      <c r="LUK255" s="11"/>
      <c r="LUL255" s="11"/>
      <c r="LUM255" s="11"/>
      <c r="LUN255" s="11"/>
      <c r="LUO255" s="11"/>
      <c r="LUP255" s="11"/>
      <c r="LUQ255" s="11"/>
      <c r="LUR255" s="11"/>
      <c r="LUS255" s="11"/>
      <c r="LUT255" s="11"/>
      <c r="LUU255" s="11"/>
      <c r="LUV255" s="11"/>
      <c r="LUW255" s="11"/>
      <c r="LUX255" s="11"/>
      <c r="LUY255" s="11"/>
      <c r="LUZ255" s="11"/>
      <c r="LVA255" s="11"/>
      <c r="LVB255" s="11"/>
      <c r="LVC255" s="11"/>
      <c r="LVD255" s="11"/>
      <c r="LVE255" s="11"/>
      <c r="LVF255" s="11"/>
      <c r="LVG255" s="11"/>
      <c r="LVH255" s="11"/>
      <c r="LVI255" s="11"/>
      <c r="LVJ255" s="11"/>
      <c r="LVK255" s="11"/>
      <c r="LVL255" s="11"/>
      <c r="LVM255" s="11"/>
      <c r="LVN255" s="11"/>
      <c r="LVO255" s="11"/>
      <c r="LVP255" s="11"/>
      <c r="LVQ255" s="11"/>
      <c r="LVR255" s="11"/>
      <c r="LVS255" s="11"/>
      <c r="LVT255" s="11"/>
      <c r="LVU255" s="11"/>
      <c r="LVV255" s="11"/>
      <c r="LVW255" s="11"/>
      <c r="LVX255" s="11"/>
      <c r="LVY255" s="11"/>
      <c r="LVZ255" s="11"/>
      <c r="LWA255" s="11"/>
      <c r="LWB255" s="11"/>
      <c r="LWC255" s="11"/>
      <c r="LWD255" s="11"/>
      <c r="LWE255" s="11"/>
      <c r="LWF255" s="11"/>
      <c r="LWG255" s="11"/>
      <c r="LWH255" s="11"/>
      <c r="LWI255" s="11"/>
      <c r="LWJ255" s="11"/>
      <c r="LWK255" s="11"/>
      <c r="LWL255" s="11"/>
      <c r="LWM255" s="11"/>
      <c r="LWN255" s="11"/>
      <c r="LWO255" s="11"/>
      <c r="LWP255" s="11"/>
      <c r="LWQ255" s="11"/>
      <c r="LWR255" s="11"/>
      <c r="LWS255" s="11"/>
      <c r="LWT255" s="11"/>
      <c r="LWU255" s="11"/>
      <c r="LWV255" s="11"/>
      <c r="LWW255" s="11"/>
      <c r="LWX255" s="11"/>
      <c r="LWY255" s="11"/>
      <c r="LWZ255" s="11"/>
      <c r="LXA255" s="11"/>
      <c r="LXB255" s="11"/>
      <c r="LXC255" s="11"/>
      <c r="LXD255" s="11"/>
      <c r="LXE255" s="11"/>
      <c r="LXF255" s="11"/>
      <c r="LXG255" s="11"/>
      <c r="LXH255" s="11"/>
      <c r="LXI255" s="11"/>
      <c r="LXJ255" s="11"/>
      <c r="LXK255" s="11"/>
      <c r="LXL255" s="11"/>
      <c r="LXM255" s="11"/>
      <c r="LXN255" s="11"/>
      <c r="LXO255" s="11"/>
      <c r="LXP255" s="11"/>
      <c r="LXQ255" s="11"/>
      <c r="LXR255" s="11"/>
      <c r="LXS255" s="11"/>
      <c r="LXT255" s="11"/>
      <c r="LXU255" s="11"/>
      <c r="LXV255" s="11"/>
      <c r="LXW255" s="11"/>
      <c r="LXX255" s="11"/>
      <c r="LXY255" s="11"/>
      <c r="LXZ255" s="11"/>
      <c r="LYA255" s="11"/>
      <c r="LYB255" s="11"/>
      <c r="LYC255" s="11"/>
      <c r="LYD255" s="11"/>
      <c r="LYE255" s="11"/>
      <c r="LYF255" s="11"/>
      <c r="LYG255" s="11"/>
      <c r="LYH255" s="11"/>
      <c r="LYI255" s="11"/>
      <c r="LYJ255" s="11"/>
      <c r="LYK255" s="11"/>
      <c r="LYL255" s="11"/>
      <c r="LYM255" s="11"/>
      <c r="LYN255" s="11"/>
      <c r="LYO255" s="11"/>
      <c r="LYP255" s="11"/>
      <c r="LYQ255" s="11"/>
      <c r="LYR255" s="11"/>
      <c r="LYS255" s="11"/>
      <c r="LYT255" s="11"/>
      <c r="LYU255" s="11"/>
      <c r="LYV255" s="11"/>
      <c r="LYW255" s="11"/>
      <c r="LYX255" s="11"/>
      <c r="LYY255" s="11"/>
      <c r="LYZ255" s="11"/>
      <c r="LZA255" s="11"/>
      <c r="LZB255" s="11"/>
      <c r="LZC255" s="11"/>
      <c r="LZD255" s="11"/>
      <c r="LZE255" s="11"/>
      <c r="LZF255" s="11"/>
      <c r="LZG255" s="11"/>
      <c r="LZH255" s="11"/>
      <c r="LZI255" s="11"/>
      <c r="LZJ255" s="11"/>
      <c r="LZK255" s="11"/>
      <c r="LZL255" s="11"/>
      <c r="LZM255" s="11"/>
      <c r="LZN255" s="11"/>
      <c r="LZO255" s="11"/>
      <c r="LZP255" s="11"/>
      <c r="LZQ255" s="11"/>
      <c r="LZR255" s="11"/>
      <c r="LZS255" s="11"/>
      <c r="LZT255" s="11"/>
      <c r="LZU255" s="11"/>
      <c r="LZV255" s="11"/>
      <c r="LZW255" s="11"/>
      <c r="LZX255" s="11"/>
      <c r="LZY255" s="11"/>
      <c r="LZZ255" s="11"/>
      <c r="MAA255" s="11"/>
      <c r="MAB255" s="11"/>
      <c r="MAC255" s="11"/>
      <c r="MAD255" s="11"/>
      <c r="MAE255" s="11"/>
      <c r="MAF255" s="11"/>
      <c r="MAG255" s="11"/>
      <c r="MAH255" s="11"/>
      <c r="MAI255" s="11"/>
      <c r="MAJ255" s="11"/>
      <c r="MAK255" s="11"/>
      <c r="MAL255" s="11"/>
      <c r="MAM255" s="11"/>
      <c r="MAN255" s="11"/>
      <c r="MAO255" s="11"/>
      <c r="MAP255" s="11"/>
      <c r="MAQ255" s="11"/>
      <c r="MAR255" s="11"/>
      <c r="MAS255" s="11"/>
      <c r="MAT255" s="11"/>
      <c r="MAU255" s="11"/>
      <c r="MAV255" s="11"/>
      <c r="MAW255" s="11"/>
      <c r="MAX255" s="11"/>
      <c r="MAY255" s="11"/>
      <c r="MAZ255" s="11"/>
      <c r="MBA255" s="11"/>
      <c r="MBB255" s="11"/>
      <c r="MBC255" s="11"/>
      <c r="MBD255" s="11"/>
      <c r="MBE255" s="11"/>
      <c r="MBF255" s="11"/>
      <c r="MBG255" s="11"/>
      <c r="MBH255" s="11"/>
      <c r="MBI255" s="11"/>
      <c r="MBJ255" s="11"/>
      <c r="MBK255" s="11"/>
      <c r="MBL255" s="11"/>
      <c r="MBM255" s="11"/>
      <c r="MBN255" s="11"/>
      <c r="MBO255" s="11"/>
      <c r="MBP255" s="11"/>
      <c r="MBQ255" s="11"/>
      <c r="MBR255" s="11"/>
      <c r="MBS255" s="11"/>
      <c r="MBT255" s="11"/>
      <c r="MBU255" s="11"/>
      <c r="MBV255" s="11"/>
      <c r="MBW255" s="11"/>
      <c r="MBX255" s="11"/>
      <c r="MBY255" s="11"/>
      <c r="MBZ255" s="11"/>
      <c r="MCA255" s="11"/>
      <c r="MCB255" s="11"/>
      <c r="MCC255" s="11"/>
      <c r="MCD255" s="11"/>
      <c r="MCE255" s="11"/>
      <c r="MCF255" s="11"/>
      <c r="MCG255" s="11"/>
      <c r="MCH255" s="11"/>
      <c r="MCI255" s="11"/>
      <c r="MCJ255" s="11"/>
      <c r="MCK255" s="11"/>
      <c r="MCL255" s="11"/>
      <c r="MCM255" s="11"/>
      <c r="MCN255" s="11"/>
      <c r="MCO255" s="11"/>
      <c r="MCP255" s="11"/>
      <c r="MCQ255" s="11"/>
      <c r="MCR255" s="11"/>
      <c r="MCS255" s="11"/>
      <c r="MCT255" s="11"/>
      <c r="MCU255" s="11"/>
      <c r="MCV255" s="11"/>
      <c r="MCW255" s="11"/>
      <c r="MCX255" s="11"/>
      <c r="MCY255" s="11"/>
      <c r="MCZ255" s="11"/>
      <c r="MDA255" s="11"/>
      <c r="MDB255" s="11"/>
      <c r="MDC255" s="11"/>
      <c r="MDD255" s="11"/>
      <c r="MDE255" s="11"/>
      <c r="MDF255" s="11"/>
      <c r="MDG255" s="11"/>
      <c r="MDH255" s="11"/>
      <c r="MDI255" s="11"/>
      <c r="MDJ255" s="11"/>
      <c r="MDK255" s="11"/>
      <c r="MDL255" s="11"/>
      <c r="MDM255" s="11"/>
      <c r="MDN255" s="11"/>
      <c r="MDO255" s="11"/>
      <c r="MDP255" s="11"/>
      <c r="MDQ255" s="11"/>
      <c r="MDR255" s="11"/>
      <c r="MDS255" s="11"/>
      <c r="MDT255" s="11"/>
      <c r="MDU255" s="11"/>
      <c r="MDV255" s="11"/>
      <c r="MDW255" s="11"/>
      <c r="MDX255" s="11"/>
      <c r="MDY255" s="11"/>
      <c r="MDZ255" s="11"/>
      <c r="MEA255" s="11"/>
      <c r="MEB255" s="11"/>
      <c r="MEC255" s="11"/>
      <c r="MED255" s="11"/>
      <c r="MEE255" s="11"/>
      <c r="MEF255" s="11"/>
      <c r="MEG255" s="11"/>
      <c r="MEH255" s="11"/>
      <c r="MEI255" s="11"/>
      <c r="MEJ255" s="11"/>
      <c r="MEK255" s="11"/>
      <c r="MEL255" s="11"/>
      <c r="MEM255" s="11"/>
      <c r="MEN255" s="11"/>
      <c r="MEO255" s="11"/>
      <c r="MEP255" s="11"/>
      <c r="MEQ255" s="11"/>
      <c r="MER255" s="11"/>
      <c r="MES255" s="11"/>
      <c r="MET255" s="11"/>
      <c r="MEU255" s="11"/>
      <c r="MEV255" s="11"/>
      <c r="MEW255" s="11"/>
      <c r="MEX255" s="11"/>
      <c r="MEY255" s="11"/>
      <c r="MEZ255" s="11"/>
      <c r="MFA255" s="11"/>
      <c r="MFB255" s="11"/>
      <c r="MFC255" s="11"/>
      <c r="MFD255" s="11"/>
      <c r="MFE255" s="11"/>
      <c r="MFF255" s="11"/>
      <c r="MFG255" s="11"/>
      <c r="MFH255" s="11"/>
      <c r="MFI255" s="11"/>
      <c r="MFJ255" s="11"/>
      <c r="MFK255" s="11"/>
      <c r="MFL255" s="11"/>
      <c r="MFM255" s="11"/>
      <c r="MFN255" s="11"/>
      <c r="MFO255" s="11"/>
      <c r="MFP255" s="11"/>
      <c r="MFQ255" s="11"/>
      <c r="MFR255" s="11"/>
      <c r="MFS255" s="11"/>
      <c r="MFT255" s="11"/>
      <c r="MFU255" s="11"/>
      <c r="MFV255" s="11"/>
      <c r="MFW255" s="11"/>
      <c r="MFX255" s="11"/>
      <c r="MFY255" s="11"/>
      <c r="MFZ255" s="11"/>
      <c r="MGA255" s="11"/>
      <c r="MGB255" s="11"/>
      <c r="MGC255" s="11"/>
      <c r="MGD255" s="11"/>
      <c r="MGE255" s="11"/>
      <c r="MGF255" s="11"/>
      <c r="MGG255" s="11"/>
      <c r="MGH255" s="11"/>
      <c r="MGI255" s="11"/>
      <c r="MGJ255" s="11"/>
      <c r="MGK255" s="11"/>
      <c r="MGL255" s="11"/>
      <c r="MGM255" s="11"/>
      <c r="MGN255" s="11"/>
      <c r="MGO255" s="11"/>
      <c r="MGP255" s="11"/>
      <c r="MGQ255" s="11"/>
      <c r="MGR255" s="11"/>
      <c r="MGS255" s="11"/>
      <c r="MGT255" s="11"/>
      <c r="MGU255" s="11"/>
      <c r="MGV255" s="11"/>
      <c r="MGW255" s="11"/>
      <c r="MGX255" s="11"/>
      <c r="MGY255" s="11"/>
      <c r="MGZ255" s="11"/>
      <c r="MHA255" s="11"/>
      <c r="MHB255" s="11"/>
      <c r="MHC255" s="11"/>
      <c r="MHD255" s="11"/>
      <c r="MHE255" s="11"/>
      <c r="MHF255" s="11"/>
      <c r="MHG255" s="11"/>
      <c r="MHH255" s="11"/>
      <c r="MHI255" s="11"/>
      <c r="MHJ255" s="11"/>
      <c r="MHK255" s="11"/>
      <c r="MHL255" s="11"/>
      <c r="MHM255" s="11"/>
      <c r="MHN255" s="11"/>
      <c r="MHO255" s="11"/>
      <c r="MHP255" s="11"/>
      <c r="MHQ255" s="11"/>
      <c r="MHR255" s="11"/>
      <c r="MHS255" s="11"/>
      <c r="MHT255" s="11"/>
      <c r="MHU255" s="11"/>
      <c r="MHV255" s="11"/>
      <c r="MHW255" s="11"/>
      <c r="MHX255" s="11"/>
      <c r="MHY255" s="11"/>
      <c r="MHZ255" s="11"/>
      <c r="MIA255" s="11"/>
      <c r="MIB255" s="11"/>
      <c r="MIC255" s="11"/>
      <c r="MID255" s="11"/>
      <c r="MIE255" s="11"/>
      <c r="MIF255" s="11"/>
      <c r="MIG255" s="11"/>
      <c r="MIH255" s="11"/>
      <c r="MII255" s="11"/>
      <c r="MIJ255" s="11"/>
      <c r="MIK255" s="11"/>
      <c r="MIL255" s="11"/>
      <c r="MIM255" s="11"/>
      <c r="MIN255" s="11"/>
      <c r="MIO255" s="11"/>
      <c r="MIP255" s="11"/>
      <c r="MIQ255" s="11"/>
      <c r="MIR255" s="11"/>
      <c r="MIS255" s="11"/>
      <c r="MIT255" s="11"/>
      <c r="MIU255" s="11"/>
      <c r="MIV255" s="11"/>
      <c r="MIW255" s="11"/>
      <c r="MIX255" s="11"/>
      <c r="MIY255" s="11"/>
      <c r="MIZ255" s="11"/>
      <c r="MJA255" s="11"/>
      <c r="MJB255" s="11"/>
      <c r="MJC255" s="11"/>
      <c r="MJD255" s="11"/>
      <c r="MJE255" s="11"/>
      <c r="MJF255" s="11"/>
      <c r="MJG255" s="11"/>
      <c r="MJH255" s="11"/>
      <c r="MJI255" s="11"/>
      <c r="MJJ255" s="11"/>
      <c r="MJK255" s="11"/>
      <c r="MJL255" s="11"/>
      <c r="MJM255" s="11"/>
      <c r="MJN255" s="11"/>
      <c r="MJO255" s="11"/>
      <c r="MJP255" s="11"/>
      <c r="MJQ255" s="11"/>
      <c r="MJR255" s="11"/>
      <c r="MJS255" s="11"/>
      <c r="MJT255" s="11"/>
      <c r="MJU255" s="11"/>
      <c r="MJV255" s="11"/>
      <c r="MJW255" s="11"/>
      <c r="MJX255" s="11"/>
      <c r="MJY255" s="11"/>
      <c r="MJZ255" s="11"/>
      <c r="MKA255" s="11"/>
      <c r="MKB255" s="11"/>
      <c r="MKC255" s="11"/>
      <c r="MKD255" s="11"/>
      <c r="MKE255" s="11"/>
      <c r="MKF255" s="11"/>
      <c r="MKG255" s="11"/>
      <c r="MKH255" s="11"/>
      <c r="MKI255" s="11"/>
      <c r="MKJ255" s="11"/>
      <c r="MKK255" s="11"/>
      <c r="MKL255" s="11"/>
      <c r="MKM255" s="11"/>
      <c r="MKN255" s="11"/>
      <c r="MKO255" s="11"/>
      <c r="MKP255" s="11"/>
      <c r="MKQ255" s="11"/>
      <c r="MKR255" s="11"/>
      <c r="MKS255" s="11"/>
      <c r="MKT255" s="11"/>
      <c r="MKU255" s="11"/>
      <c r="MKV255" s="11"/>
      <c r="MKW255" s="11"/>
      <c r="MKX255" s="11"/>
      <c r="MKY255" s="11"/>
      <c r="MKZ255" s="11"/>
      <c r="MLA255" s="11"/>
      <c r="MLB255" s="11"/>
      <c r="MLC255" s="11"/>
      <c r="MLD255" s="11"/>
      <c r="MLE255" s="11"/>
      <c r="MLF255" s="11"/>
      <c r="MLG255" s="11"/>
      <c r="MLH255" s="11"/>
      <c r="MLI255" s="11"/>
      <c r="MLJ255" s="11"/>
      <c r="MLK255" s="11"/>
      <c r="MLL255" s="11"/>
      <c r="MLM255" s="11"/>
      <c r="MLN255" s="11"/>
      <c r="MLO255" s="11"/>
      <c r="MLP255" s="11"/>
      <c r="MLQ255" s="11"/>
      <c r="MLR255" s="11"/>
      <c r="MLS255" s="11"/>
      <c r="MLT255" s="11"/>
      <c r="MLU255" s="11"/>
      <c r="MLV255" s="11"/>
      <c r="MLW255" s="11"/>
      <c r="MLX255" s="11"/>
      <c r="MLY255" s="11"/>
      <c r="MLZ255" s="11"/>
      <c r="MMA255" s="11"/>
      <c r="MMB255" s="11"/>
      <c r="MMC255" s="11"/>
      <c r="MMD255" s="11"/>
      <c r="MME255" s="11"/>
      <c r="MMF255" s="11"/>
      <c r="MMG255" s="11"/>
      <c r="MMH255" s="11"/>
      <c r="MMI255" s="11"/>
      <c r="MMJ255" s="11"/>
      <c r="MMK255" s="11"/>
      <c r="MML255" s="11"/>
      <c r="MMM255" s="11"/>
      <c r="MMN255" s="11"/>
      <c r="MMO255" s="11"/>
      <c r="MMP255" s="11"/>
      <c r="MMQ255" s="11"/>
      <c r="MMR255" s="11"/>
      <c r="MMS255" s="11"/>
      <c r="MMT255" s="11"/>
      <c r="MMU255" s="11"/>
      <c r="MMV255" s="11"/>
      <c r="MMW255" s="11"/>
      <c r="MMX255" s="11"/>
      <c r="MMY255" s="11"/>
      <c r="MMZ255" s="11"/>
      <c r="MNA255" s="11"/>
      <c r="MNB255" s="11"/>
      <c r="MNC255" s="11"/>
      <c r="MND255" s="11"/>
      <c r="MNE255" s="11"/>
      <c r="MNF255" s="11"/>
      <c r="MNG255" s="11"/>
      <c r="MNH255" s="11"/>
      <c r="MNI255" s="11"/>
      <c r="MNJ255" s="11"/>
      <c r="MNK255" s="11"/>
      <c r="MNL255" s="11"/>
      <c r="MNM255" s="11"/>
      <c r="MNN255" s="11"/>
      <c r="MNO255" s="11"/>
      <c r="MNP255" s="11"/>
      <c r="MNQ255" s="11"/>
      <c r="MNR255" s="11"/>
      <c r="MNS255" s="11"/>
      <c r="MNT255" s="11"/>
      <c r="MNU255" s="11"/>
      <c r="MNV255" s="11"/>
      <c r="MNW255" s="11"/>
      <c r="MNX255" s="11"/>
      <c r="MNY255" s="11"/>
      <c r="MNZ255" s="11"/>
      <c r="MOA255" s="11"/>
      <c r="MOB255" s="11"/>
      <c r="MOC255" s="11"/>
      <c r="MOD255" s="11"/>
      <c r="MOE255" s="11"/>
      <c r="MOF255" s="11"/>
      <c r="MOG255" s="11"/>
      <c r="MOH255" s="11"/>
      <c r="MOI255" s="11"/>
      <c r="MOJ255" s="11"/>
      <c r="MOK255" s="11"/>
      <c r="MOL255" s="11"/>
      <c r="MOM255" s="11"/>
      <c r="MON255" s="11"/>
      <c r="MOO255" s="11"/>
      <c r="MOP255" s="11"/>
      <c r="MOQ255" s="11"/>
      <c r="MOR255" s="11"/>
      <c r="MOS255" s="11"/>
      <c r="MOT255" s="11"/>
      <c r="MOU255" s="11"/>
      <c r="MOV255" s="11"/>
      <c r="MOW255" s="11"/>
      <c r="MOX255" s="11"/>
      <c r="MOY255" s="11"/>
      <c r="MOZ255" s="11"/>
      <c r="MPA255" s="11"/>
      <c r="MPB255" s="11"/>
      <c r="MPC255" s="11"/>
      <c r="MPD255" s="11"/>
      <c r="MPE255" s="11"/>
      <c r="MPF255" s="11"/>
      <c r="MPG255" s="11"/>
      <c r="MPH255" s="11"/>
      <c r="MPI255" s="11"/>
      <c r="MPJ255" s="11"/>
      <c r="MPK255" s="11"/>
      <c r="MPL255" s="11"/>
      <c r="MPM255" s="11"/>
      <c r="MPN255" s="11"/>
      <c r="MPO255" s="11"/>
      <c r="MPP255" s="11"/>
      <c r="MPQ255" s="11"/>
      <c r="MPR255" s="11"/>
      <c r="MPS255" s="11"/>
      <c r="MPT255" s="11"/>
      <c r="MPU255" s="11"/>
      <c r="MPV255" s="11"/>
      <c r="MPW255" s="11"/>
      <c r="MPX255" s="11"/>
      <c r="MPY255" s="11"/>
      <c r="MPZ255" s="11"/>
      <c r="MQA255" s="11"/>
      <c r="MQB255" s="11"/>
      <c r="MQC255" s="11"/>
      <c r="MQD255" s="11"/>
      <c r="MQE255" s="11"/>
      <c r="MQF255" s="11"/>
      <c r="MQG255" s="11"/>
      <c r="MQH255" s="11"/>
      <c r="MQI255" s="11"/>
      <c r="MQJ255" s="11"/>
      <c r="MQK255" s="11"/>
      <c r="MQL255" s="11"/>
      <c r="MQM255" s="11"/>
      <c r="MQN255" s="11"/>
      <c r="MQO255" s="11"/>
      <c r="MQP255" s="11"/>
      <c r="MQQ255" s="11"/>
      <c r="MQR255" s="11"/>
      <c r="MQS255" s="11"/>
      <c r="MQT255" s="11"/>
      <c r="MQU255" s="11"/>
      <c r="MQV255" s="11"/>
      <c r="MQW255" s="11"/>
      <c r="MQX255" s="11"/>
      <c r="MQY255" s="11"/>
      <c r="MQZ255" s="11"/>
      <c r="MRA255" s="11"/>
      <c r="MRB255" s="11"/>
      <c r="MRC255" s="11"/>
      <c r="MRD255" s="11"/>
      <c r="MRE255" s="11"/>
      <c r="MRF255" s="11"/>
      <c r="MRG255" s="11"/>
      <c r="MRH255" s="11"/>
      <c r="MRI255" s="11"/>
      <c r="MRJ255" s="11"/>
      <c r="MRK255" s="11"/>
      <c r="MRL255" s="11"/>
      <c r="MRM255" s="11"/>
      <c r="MRN255" s="11"/>
      <c r="MRO255" s="11"/>
      <c r="MRP255" s="11"/>
      <c r="MRQ255" s="11"/>
      <c r="MRR255" s="11"/>
      <c r="MRS255" s="11"/>
      <c r="MRT255" s="11"/>
      <c r="MRU255" s="11"/>
      <c r="MRV255" s="11"/>
      <c r="MRW255" s="11"/>
      <c r="MRX255" s="11"/>
      <c r="MRY255" s="11"/>
      <c r="MRZ255" s="11"/>
      <c r="MSA255" s="11"/>
      <c r="MSB255" s="11"/>
      <c r="MSC255" s="11"/>
      <c r="MSD255" s="11"/>
      <c r="MSE255" s="11"/>
      <c r="MSF255" s="11"/>
      <c r="MSG255" s="11"/>
      <c r="MSH255" s="11"/>
      <c r="MSI255" s="11"/>
      <c r="MSJ255" s="11"/>
      <c r="MSK255" s="11"/>
      <c r="MSL255" s="11"/>
      <c r="MSM255" s="11"/>
      <c r="MSN255" s="11"/>
      <c r="MSO255" s="11"/>
      <c r="MSP255" s="11"/>
      <c r="MSQ255" s="11"/>
      <c r="MSR255" s="11"/>
      <c r="MSS255" s="11"/>
      <c r="MST255" s="11"/>
      <c r="MSU255" s="11"/>
      <c r="MSV255" s="11"/>
      <c r="MSW255" s="11"/>
      <c r="MSX255" s="11"/>
      <c r="MSY255" s="11"/>
      <c r="MSZ255" s="11"/>
      <c r="MTA255" s="11"/>
      <c r="MTB255" s="11"/>
      <c r="MTC255" s="11"/>
      <c r="MTD255" s="11"/>
      <c r="MTE255" s="11"/>
      <c r="MTF255" s="11"/>
      <c r="MTG255" s="11"/>
      <c r="MTH255" s="11"/>
      <c r="MTI255" s="11"/>
      <c r="MTJ255" s="11"/>
      <c r="MTK255" s="11"/>
      <c r="MTL255" s="11"/>
      <c r="MTM255" s="11"/>
      <c r="MTN255" s="11"/>
      <c r="MTO255" s="11"/>
      <c r="MTP255" s="11"/>
      <c r="MTQ255" s="11"/>
      <c r="MTR255" s="11"/>
      <c r="MTS255" s="11"/>
      <c r="MTT255" s="11"/>
      <c r="MTU255" s="11"/>
      <c r="MTV255" s="11"/>
      <c r="MTW255" s="11"/>
      <c r="MTX255" s="11"/>
      <c r="MTY255" s="11"/>
      <c r="MTZ255" s="11"/>
      <c r="MUA255" s="11"/>
      <c r="MUB255" s="11"/>
      <c r="MUC255" s="11"/>
      <c r="MUD255" s="11"/>
      <c r="MUE255" s="11"/>
      <c r="MUF255" s="11"/>
      <c r="MUG255" s="11"/>
      <c r="MUH255" s="11"/>
      <c r="MUI255" s="11"/>
      <c r="MUJ255" s="11"/>
      <c r="MUK255" s="11"/>
      <c r="MUL255" s="11"/>
      <c r="MUM255" s="11"/>
      <c r="MUN255" s="11"/>
      <c r="MUO255" s="11"/>
      <c r="MUP255" s="11"/>
      <c r="MUQ255" s="11"/>
      <c r="MUR255" s="11"/>
      <c r="MUS255" s="11"/>
      <c r="MUT255" s="11"/>
      <c r="MUU255" s="11"/>
      <c r="MUV255" s="11"/>
      <c r="MUW255" s="11"/>
      <c r="MUX255" s="11"/>
      <c r="MUY255" s="11"/>
      <c r="MUZ255" s="11"/>
      <c r="MVA255" s="11"/>
      <c r="MVB255" s="11"/>
      <c r="MVC255" s="11"/>
      <c r="MVD255" s="11"/>
      <c r="MVE255" s="11"/>
      <c r="MVF255" s="11"/>
      <c r="MVG255" s="11"/>
      <c r="MVH255" s="11"/>
      <c r="MVI255" s="11"/>
      <c r="MVJ255" s="11"/>
      <c r="MVK255" s="11"/>
      <c r="MVL255" s="11"/>
      <c r="MVM255" s="11"/>
      <c r="MVN255" s="11"/>
      <c r="MVO255" s="11"/>
      <c r="MVP255" s="11"/>
      <c r="MVQ255" s="11"/>
      <c r="MVR255" s="11"/>
      <c r="MVS255" s="11"/>
      <c r="MVT255" s="11"/>
      <c r="MVU255" s="11"/>
      <c r="MVV255" s="11"/>
      <c r="MVW255" s="11"/>
      <c r="MVX255" s="11"/>
      <c r="MVY255" s="11"/>
      <c r="MVZ255" s="11"/>
      <c r="MWA255" s="11"/>
      <c r="MWB255" s="11"/>
      <c r="MWC255" s="11"/>
      <c r="MWD255" s="11"/>
      <c r="MWE255" s="11"/>
      <c r="MWF255" s="11"/>
      <c r="MWG255" s="11"/>
      <c r="MWH255" s="11"/>
      <c r="MWI255" s="11"/>
      <c r="MWJ255" s="11"/>
      <c r="MWK255" s="11"/>
      <c r="MWL255" s="11"/>
      <c r="MWM255" s="11"/>
      <c r="MWN255" s="11"/>
      <c r="MWO255" s="11"/>
      <c r="MWP255" s="11"/>
      <c r="MWQ255" s="11"/>
      <c r="MWR255" s="11"/>
      <c r="MWS255" s="11"/>
      <c r="MWT255" s="11"/>
      <c r="MWU255" s="11"/>
      <c r="MWV255" s="11"/>
      <c r="MWW255" s="11"/>
      <c r="MWX255" s="11"/>
      <c r="MWY255" s="11"/>
      <c r="MWZ255" s="11"/>
      <c r="MXA255" s="11"/>
      <c r="MXB255" s="11"/>
      <c r="MXC255" s="11"/>
      <c r="MXD255" s="11"/>
      <c r="MXE255" s="11"/>
      <c r="MXF255" s="11"/>
      <c r="MXG255" s="11"/>
      <c r="MXH255" s="11"/>
      <c r="MXI255" s="11"/>
      <c r="MXJ255" s="11"/>
      <c r="MXK255" s="11"/>
      <c r="MXL255" s="11"/>
      <c r="MXM255" s="11"/>
      <c r="MXN255" s="11"/>
      <c r="MXO255" s="11"/>
      <c r="MXP255" s="11"/>
      <c r="MXQ255" s="11"/>
      <c r="MXR255" s="11"/>
      <c r="MXS255" s="11"/>
      <c r="MXT255" s="11"/>
      <c r="MXU255" s="11"/>
      <c r="MXV255" s="11"/>
      <c r="MXW255" s="11"/>
      <c r="MXX255" s="11"/>
      <c r="MXY255" s="11"/>
      <c r="MXZ255" s="11"/>
      <c r="MYA255" s="11"/>
      <c r="MYB255" s="11"/>
      <c r="MYC255" s="11"/>
      <c r="MYD255" s="11"/>
      <c r="MYE255" s="11"/>
      <c r="MYF255" s="11"/>
      <c r="MYG255" s="11"/>
      <c r="MYH255" s="11"/>
      <c r="MYI255" s="11"/>
      <c r="MYJ255" s="11"/>
      <c r="MYK255" s="11"/>
      <c r="MYL255" s="11"/>
      <c r="MYM255" s="11"/>
      <c r="MYN255" s="11"/>
      <c r="MYO255" s="11"/>
      <c r="MYP255" s="11"/>
      <c r="MYQ255" s="11"/>
      <c r="MYR255" s="11"/>
      <c r="MYS255" s="11"/>
      <c r="MYT255" s="11"/>
      <c r="MYU255" s="11"/>
      <c r="MYV255" s="11"/>
      <c r="MYW255" s="11"/>
      <c r="MYX255" s="11"/>
      <c r="MYY255" s="11"/>
      <c r="MYZ255" s="11"/>
      <c r="MZA255" s="11"/>
      <c r="MZB255" s="11"/>
      <c r="MZC255" s="11"/>
      <c r="MZD255" s="11"/>
      <c r="MZE255" s="11"/>
      <c r="MZF255" s="11"/>
      <c r="MZG255" s="11"/>
      <c r="MZH255" s="11"/>
      <c r="MZI255" s="11"/>
      <c r="MZJ255" s="11"/>
      <c r="MZK255" s="11"/>
      <c r="MZL255" s="11"/>
      <c r="MZM255" s="11"/>
      <c r="MZN255" s="11"/>
      <c r="MZO255" s="11"/>
      <c r="MZP255" s="11"/>
      <c r="MZQ255" s="11"/>
      <c r="MZR255" s="11"/>
      <c r="MZS255" s="11"/>
      <c r="MZT255" s="11"/>
      <c r="MZU255" s="11"/>
      <c r="MZV255" s="11"/>
      <c r="MZW255" s="11"/>
      <c r="MZX255" s="11"/>
      <c r="MZY255" s="11"/>
      <c r="MZZ255" s="11"/>
      <c r="NAA255" s="11"/>
      <c r="NAB255" s="11"/>
      <c r="NAC255" s="11"/>
      <c r="NAD255" s="11"/>
      <c r="NAE255" s="11"/>
      <c r="NAF255" s="11"/>
      <c r="NAG255" s="11"/>
      <c r="NAH255" s="11"/>
      <c r="NAI255" s="11"/>
      <c r="NAJ255" s="11"/>
      <c r="NAK255" s="11"/>
      <c r="NAL255" s="11"/>
      <c r="NAM255" s="11"/>
      <c r="NAN255" s="11"/>
      <c r="NAO255" s="11"/>
      <c r="NAP255" s="11"/>
      <c r="NAQ255" s="11"/>
      <c r="NAR255" s="11"/>
      <c r="NAS255" s="11"/>
      <c r="NAT255" s="11"/>
      <c r="NAU255" s="11"/>
      <c r="NAV255" s="11"/>
      <c r="NAW255" s="11"/>
      <c r="NAX255" s="11"/>
      <c r="NAY255" s="11"/>
      <c r="NAZ255" s="11"/>
      <c r="NBA255" s="11"/>
      <c r="NBB255" s="11"/>
      <c r="NBC255" s="11"/>
      <c r="NBD255" s="11"/>
      <c r="NBE255" s="11"/>
      <c r="NBF255" s="11"/>
      <c r="NBG255" s="11"/>
      <c r="NBH255" s="11"/>
      <c r="NBI255" s="11"/>
      <c r="NBJ255" s="11"/>
      <c r="NBK255" s="11"/>
      <c r="NBL255" s="11"/>
      <c r="NBM255" s="11"/>
      <c r="NBN255" s="11"/>
      <c r="NBO255" s="11"/>
      <c r="NBP255" s="11"/>
      <c r="NBQ255" s="11"/>
      <c r="NBR255" s="11"/>
      <c r="NBS255" s="11"/>
      <c r="NBT255" s="11"/>
      <c r="NBU255" s="11"/>
      <c r="NBV255" s="11"/>
      <c r="NBW255" s="11"/>
      <c r="NBX255" s="11"/>
      <c r="NBY255" s="11"/>
      <c r="NBZ255" s="11"/>
      <c r="NCA255" s="11"/>
      <c r="NCB255" s="11"/>
      <c r="NCC255" s="11"/>
      <c r="NCD255" s="11"/>
      <c r="NCE255" s="11"/>
      <c r="NCF255" s="11"/>
      <c r="NCG255" s="11"/>
      <c r="NCH255" s="11"/>
      <c r="NCI255" s="11"/>
      <c r="NCJ255" s="11"/>
      <c r="NCK255" s="11"/>
      <c r="NCL255" s="11"/>
      <c r="NCM255" s="11"/>
      <c r="NCN255" s="11"/>
      <c r="NCO255" s="11"/>
      <c r="NCP255" s="11"/>
      <c r="NCQ255" s="11"/>
      <c r="NCR255" s="11"/>
      <c r="NCS255" s="11"/>
      <c r="NCT255" s="11"/>
      <c r="NCU255" s="11"/>
      <c r="NCV255" s="11"/>
      <c r="NCW255" s="11"/>
      <c r="NCX255" s="11"/>
      <c r="NCY255" s="11"/>
      <c r="NCZ255" s="11"/>
      <c r="NDA255" s="11"/>
      <c r="NDB255" s="11"/>
      <c r="NDC255" s="11"/>
      <c r="NDD255" s="11"/>
      <c r="NDE255" s="11"/>
      <c r="NDF255" s="11"/>
      <c r="NDG255" s="11"/>
      <c r="NDH255" s="11"/>
      <c r="NDI255" s="11"/>
      <c r="NDJ255" s="11"/>
      <c r="NDK255" s="11"/>
      <c r="NDL255" s="11"/>
      <c r="NDM255" s="11"/>
      <c r="NDN255" s="11"/>
      <c r="NDO255" s="11"/>
      <c r="NDP255" s="11"/>
      <c r="NDQ255" s="11"/>
      <c r="NDR255" s="11"/>
      <c r="NDS255" s="11"/>
      <c r="NDT255" s="11"/>
      <c r="NDU255" s="11"/>
      <c r="NDV255" s="11"/>
      <c r="NDW255" s="11"/>
      <c r="NDX255" s="11"/>
      <c r="NDY255" s="11"/>
      <c r="NDZ255" s="11"/>
      <c r="NEA255" s="11"/>
      <c r="NEB255" s="11"/>
      <c r="NEC255" s="11"/>
      <c r="NED255" s="11"/>
      <c r="NEE255" s="11"/>
      <c r="NEF255" s="11"/>
      <c r="NEG255" s="11"/>
      <c r="NEH255" s="11"/>
      <c r="NEI255" s="11"/>
      <c r="NEJ255" s="11"/>
      <c r="NEK255" s="11"/>
      <c r="NEL255" s="11"/>
      <c r="NEM255" s="11"/>
      <c r="NEN255" s="11"/>
      <c r="NEO255" s="11"/>
      <c r="NEP255" s="11"/>
      <c r="NEQ255" s="11"/>
      <c r="NER255" s="11"/>
      <c r="NES255" s="11"/>
      <c r="NET255" s="11"/>
      <c r="NEU255" s="11"/>
      <c r="NEV255" s="11"/>
      <c r="NEW255" s="11"/>
      <c r="NEX255" s="11"/>
      <c r="NEY255" s="11"/>
      <c r="NEZ255" s="11"/>
      <c r="NFA255" s="11"/>
      <c r="NFB255" s="11"/>
      <c r="NFC255" s="11"/>
      <c r="NFD255" s="11"/>
      <c r="NFE255" s="11"/>
      <c r="NFF255" s="11"/>
      <c r="NFG255" s="11"/>
      <c r="NFH255" s="11"/>
      <c r="NFI255" s="11"/>
      <c r="NFJ255" s="11"/>
      <c r="NFK255" s="11"/>
      <c r="NFL255" s="11"/>
      <c r="NFM255" s="11"/>
      <c r="NFN255" s="11"/>
      <c r="NFO255" s="11"/>
      <c r="NFP255" s="11"/>
      <c r="NFQ255" s="11"/>
      <c r="NFR255" s="11"/>
      <c r="NFS255" s="11"/>
      <c r="NFT255" s="11"/>
      <c r="NFU255" s="11"/>
      <c r="NFV255" s="11"/>
      <c r="NFW255" s="11"/>
      <c r="NFX255" s="11"/>
      <c r="NFY255" s="11"/>
      <c r="NFZ255" s="11"/>
      <c r="NGA255" s="11"/>
      <c r="NGB255" s="11"/>
      <c r="NGC255" s="11"/>
      <c r="NGD255" s="11"/>
      <c r="NGE255" s="11"/>
      <c r="NGF255" s="11"/>
      <c r="NGG255" s="11"/>
      <c r="NGH255" s="11"/>
      <c r="NGI255" s="11"/>
      <c r="NGJ255" s="11"/>
      <c r="NGK255" s="11"/>
      <c r="NGL255" s="11"/>
      <c r="NGM255" s="11"/>
      <c r="NGN255" s="11"/>
      <c r="NGO255" s="11"/>
      <c r="NGP255" s="11"/>
      <c r="NGQ255" s="11"/>
      <c r="NGR255" s="11"/>
      <c r="NGS255" s="11"/>
      <c r="NGT255" s="11"/>
      <c r="NGU255" s="11"/>
      <c r="NGV255" s="11"/>
      <c r="NGW255" s="11"/>
      <c r="NGX255" s="11"/>
      <c r="NGY255" s="11"/>
      <c r="NGZ255" s="11"/>
      <c r="NHA255" s="11"/>
      <c r="NHB255" s="11"/>
      <c r="NHC255" s="11"/>
      <c r="NHD255" s="11"/>
      <c r="NHE255" s="11"/>
      <c r="NHF255" s="11"/>
      <c r="NHG255" s="11"/>
      <c r="NHH255" s="11"/>
      <c r="NHI255" s="11"/>
      <c r="NHJ255" s="11"/>
      <c r="NHK255" s="11"/>
      <c r="NHL255" s="11"/>
      <c r="NHM255" s="11"/>
      <c r="NHN255" s="11"/>
      <c r="NHO255" s="11"/>
      <c r="NHP255" s="11"/>
      <c r="NHQ255" s="11"/>
      <c r="NHR255" s="11"/>
      <c r="NHS255" s="11"/>
      <c r="NHT255" s="11"/>
      <c r="NHU255" s="11"/>
      <c r="NHV255" s="11"/>
      <c r="NHW255" s="11"/>
      <c r="NHX255" s="11"/>
      <c r="NHY255" s="11"/>
      <c r="NHZ255" s="11"/>
      <c r="NIA255" s="11"/>
      <c r="NIB255" s="11"/>
      <c r="NIC255" s="11"/>
      <c r="NID255" s="11"/>
      <c r="NIE255" s="11"/>
      <c r="NIF255" s="11"/>
      <c r="NIG255" s="11"/>
      <c r="NIH255" s="11"/>
      <c r="NII255" s="11"/>
      <c r="NIJ255" s="11"/>
      <c r="NIK255" s="11"/>
      <c r="NIL255" s="11"/>
      <c r="NIM255" s="11"/>
      <c r="NIN255" s="11"/>
      <c r="NIO255" s="11"/>
      <c r="NIP255" s="11"/>
      <c r="NIQ255" s="11"/>
      <c r="NIR255" s="11"/>
      <c r="NIS255" s="11"/>
      <c r="NIT255" s="11"/>
      <c r="NIU255" s="11"/>
      <c r="NIV255" s="11"/>
      <c r="NIW255" s="11"/>
      <c r="NIX255" s="11"/>
      <c r="NIY255" s="11"/>
      <c r="NIZ255" s="11"/>
      <c r="NJA255" s="11"/>
      <c r="NJB255" s="11"/>
      <c r="NJC255" s="11"/>
      <c r="NJD255" s="11"/>
      <c r="NJE255" s="11"/>
      <c r="NJF255" s="11"/>
      <c r="NJG255" s="11"/>
      <c r="NJH255" s="11"/>
      <c r="NJI255" s="11"/>
      <c r="NJJ255" s="11"/>
      <c r="NJK255" s="11"/>
      <c r="NJL255" s="11"/>
      <c r="NJM255" s="11"/>
      <c r="NJN255" s="11"/>
      <c r="NJO255" s="11"/>
      <c r="NJP255" s="11"/>
      <c r="NJQ255" s="11"/>
      <c r="NJR255" s="11"/>
      <c r="NJS255" s="11"/>
      <c r="NJT255" s="11"/>
      <c r="NJU255" s="11"/>
      <c r="NJV255" s="11"/>
      <c r="NJW255" s="11"/>
      <c r="NJX255" s="11"/>
      <c r="NJY255" s="11"/>
      <c r="NJZ255" s="11"/>
      <c r="NKA255" s="11"/>
      <c r="NKB255" s="11"/>
      <c r="NKC255" s="11"/>
      <c r="NKD255" s="11"/>
      <c r="NKE255" s="11"/>
      <c r="NKF255" s="11"/>
      <c r="NKG255" s="11"/>
      <c r="NKH255" s="11"/>
      <c r="NKI255" s="11"/>
      <c r="NKJ255" s="11"/>
      <c r="NKK255" s="11"/>
      <c r="NKL255" s="11"/>
      <c r="NKM255" s="11"/>
      <c r="NKN255" s="11"/>
      <c r="NKO255" s="11"/>
      <c r="NKP255" s="11"/>
      <c r="NKQ255" s="11"/>
      <c r="NKR255" s="11"/>
      <c r="NKS255" s="11"/>
      <c r="NKT255" s="11"/>
      <c r="NKU255" s="11"/>
      <c r="NKV255" s="11"/>
      <c r="NKW255" s="11"/>
      <c r="NKX255" s="11"/>
      <c r="NKY255" s="11"/>
      <c r="NKZ255" s="11"/>
      <c r="NLA255" s="11"/>
      <c r="NLB255" s="11"/>
      <c r="NLC255" s="11"/>
      <c r="NLD255" s="11"/>
      <c r="NLE255" s="11"/>
      <c r="NLF255" s="11"/>
      <c r="NLG255" s="11"/>
      <c r="NLH255" s="11"/>
      <c r="NLI255" s="11"/>
      <c r="NLJ255" s="11"/>
      <c r="NLK255" s="11"/>
      <c r="NLL255" s="11"/>
      <c r="NLM255" s="11"/>
      <c r="NLN255" s="11"/>
      <c r="NLO255" s="11"/>
      <c r="NLP255" s="11"/>
      <c r="NLQ255" s="11"/>
      <c r="NLR255" s="11"/>
      <c r="NLS255" s="11"/>
      <c r="NLT255" s="11"/>
      <c r="NLU255" s="11"/>
      <c r="NLV255" s="11"/>
      <c r="NLW255" s="11"/>
      <c r="NLX255" s="11"/>
      <c r="NLY255" s="11"/>
      <c r="NLZ255" s="11"/>
      <c r="NMA255" s="11"/>
      <c r="NMB255" s="11"/>
      <c r="NMC255" s="11"/>
      <c r="NMD255" s="11"/>
      <c r="NME255" s="11"/>
      <c r="NMF255" s="11"/>
      <c r="NMG255" s="11"/>
      <c r="NMH255" s="11"/>
      <c r="NMI255" s="11"/>
      <c r="NMJ255" s="11"/>
      <c r="NMK255" s="11"/>
      <c r="NML255" s="11"/>
      <c r="NMM255" s="11"/>
      <c r="NMN255" s="11"/>
      <c r="NMO255" s="11"/>
      <c r="NMP255" s="11"/>
      <c r="NMQ255" s="11"/>
      <c r="NMR255" s="11"/>
      <c r="NMS255" s="11"/>
      <c r="NMT255" s="11"/>
      <c r="NMU255" s="11"/>
      <c r="NMV255" s="11"/>
      <c r="NMW255" s="11"/>
      <c r="NMX255" s="11"/>
      <c r="NMY255" s="11"/>
      <c r="NMZ255" s="11"/>
      <c r="NNA255" s="11"/>
      <c r="NNB255" s="11"/>
      <c r="NNC255" s="11"/>
      <c r="NND255" s="11"/>
      <c r="NNE255" s="11"/>
      <c r="NNF255" s="11"/>
      <c r="NNG255" s="11"/>
      <c r="NNH255" s="11"/>
      <c r="NNI255" s="11"/>
      <c r="NNJ255" s="11"/>
      <c r="NNK255" s="11"/>
      <c r="NNL255" s="11"/>
      <c r="NNM255" s="11"/>
      <c r="NNN255" s="11"/>
      <c r="NNO255" s="11"/>
      <c r="NNP255" s="11"/>
      <c r="NNQ255" s="11"/>
      <c r="NNR255" s="11"/>
      <c r="NNS255" s="11"/>
      <c r="NNT255" s="11"/>
      <c r="NNU255" s="11"/>
      <c r="NNV255" s="11"/>
      <c r="NNW255" s="11"/>
      <c r="NNX255" s="11"/>
      <c r="NNY255" s="11"/>
      <c r="NNZ255" s="11"/>
      <c r="NOA255" s="11"/>
      <c r="NOB255" s="11"/>
      <c r="NOC255" s="11"/>
      <c r="NOD255" s="11"/>
      <c r="NOE255" s="11"/>
      <c r="NOF255" s="11"/>
      <c r="NOG255" s="11"/>
      <c r="NOH255" s="11"/>
      <c r="NOI255" s="11"/>
      <c r="NOJ255" s="11"/>
      <c r="NOK255" s="11"/>
      <c r="NOL255" s="11"/>
      <c r="NOM255" s="11"/>
      <c r="NON255" s="11"/>
      <c r="NOO255" s="11"/>
      <c r="NOP255" s="11"/>
      <c r="NOQ255" s="11"/>
      <c r="NOR255" s="11"/>
      <c r="NOS255" s="11"/>
      <c r="NOT255" s="11"/>
      <c r="NOU255" s="11"/>
      <c r="NOV255" s="11"/>
      <c r="NOW255" s="11"/>
      <c r="NOX255" s="11"/>
      <c r="NOY255" s="11"/>
      <c r="NOZ255" s="11"/>
      <c r="NPA255" s="11"/>
      <c r="NPB255" s="11"/>
      <c r="NPC255" s="11"/>
      <c r="NPD255" s="11"/>
      <c r="NPE255" s="11"/>
      <c r="NPF255" s="11"/>
      <c r="NPG255" s="11"/>
      <c r="NPH255" s="11"/>
      <c r="NPI255" s="11"/>
      <c r="NPJ255" s="11"/>
      <c r="NPK255" s="11"/>
      <c r="NPL255" s="11"/>
      <c r="NPM255" s="11"/>
      <c r="NPN255" s="11"/>
      <c r="NPO255" s="11"/>
      <c r="NPP255" s="11"/>
      <c r="NPQ255" s="11"/>
      <c r="NPR255" s="11"/>
      <c r="NPS255" s="11"/>
      <c r="NPT255" s="11"/>
      <c r="NPU255" s="11"/>
      <c r="NPV255" s="11"/>
      <c r="NPW255" s="11"/>
      <c r="NPX255" s="11"/>
      <c r="NPY255" s="11"/>
      <c r="NPZ255" s="11"/>
      <c r="NQA255" s="11"/>
      <c r="NQB255" s="11"/>
      <c r="NQC255" s="11"/>
      <c r="NQD255" s="11"/>
      <c r="NQE255" s="11"/>
      <c r="NQF255" s="11"/>
      <c r="NQG255" s="11"/>
      <c r="NQH255" s="11"/>
      <c r="NQI255" s="11"/>
      <c r="NQJ255" s="11"/>
      <c r="NQK255" s="11"/>
      <c r="NQL255" s="11"/>
      <c r="NQM255" s="11"/>
      <c r="NQN255" s="11"/>
      <c r="NQO255" s="11"/>
      <c r="NQP255" s="11"/>
      <c r="NQQ255" s="11"/>
      <c r="NQR255" s="11"/>
      <c r="NQS255" s="11"/>
      <c r="NQT255" s="11"/>
      <c r="NQU255" s="11"/>
      <c r="NQV255" s="11"/>
      <c r="NQW255" s="11"/>
      <c r="NQX255" s="11"/>
      <c r="NQY255" s="11"/>
      <c r="NQZ255" s="11"/>
      <c r="NRA255" s="11"/>
      <c r="NRB255" s="11"/>
      <c r="NRC255" s="11"/>
      <c r="NRD255" s="11"/>
      <c r="NRE255" s="11"/>
      <c r="NRF255" s="11"/>
      <c r="NRG255" s="11"/>
      <c r="NRH255" s="11"/>
      <c r="NRI255" s="11"/>
      <c r="NRJ255" s="11"/>
      <c r="NRK255" s="11"/>
      <c r="NRL255" s="11"/>
      <c r="NRM255" s="11"/>
      <c r="NRN255" s="11"/>
      <c r="NRO255" s="11"/>
      <c r="NRP255" s="11"/>
      <c r="NRQ255" s="11"/>
      <c r="NRR255" s="11"/>
      <c r="NRS255" s="11"/>
      <c r="NRT255" s="11"/>
      <c r="NRU255" s="11"/>
      <c r="NRV255" s="11"/>
      <c r="NRW255" s="11"/>
      <c r="NRX255" s="11"/>
      <c r="NRY255" s="11"/>
      <c r="NRZ255" s="11"/>
      <c r="NSA255" s="11"/>
      <c r="NSB255" s="11"/>
      <c r="NSC255" s="11"/>
      <c r="NSD255" s="11"/>
      <c r="NSE255" s="11"/>
      <c r="NSF255" s="11"/>
      <c r="NSG255" s="11"/>
      <c r="NSH255" s="11"/>
      <c r="NSI255" s="11"/>
      <c r="NSJ255" s="11"/>
      <c r="NSK255" s="11"/>
      <c r="NSL255" s="11"/>
      <c r="NSM255" s="11"/>
      <c r="NSN255" s="11"/>
      <c r="NSO255" s="11"/>
      <c r="NSP255" s="11"/>
      <c r="NSQ255" s="11"/>
      <c r="NSR255" s="11"/>
      <c r="NSS255" s="11"/>
      <c r="NST255" s="11"/>
      <c r="NSU255" s="11"/>
      <c r="NSV255" s="11"/>
      <c r="NSW255" s="11"/>
      <c r="NSX255" s="11"/>
      <c r="NSY255" s="11"/>
      <c r="NSZ255" s="11"/>
      <c r="NTA255" s="11"/>
      <c r="NTB255" s="11"/>
      <c r="NTC255" s="11"/>
      <c r="NTD255" s="11"/>
      <c r="NTE255" s="11"/>
      <c r="NTF255" s="11"/>
      <c r="NTG255" s="11"/>
      <c r="NTH255" s="11"/>
      <c r="NTI255" s="11"/>
      <c r="NTJ255" s="11"/>
      <c r="NTK255" s="11"/>
      <c r="NTL255" s="11"/>
      <c r="NTM255" s="11"/>
      <c r="NTN255" s="11"/>
      <c r="NTO255" s="11"/>
      <c r="NTP255" s="11"/>
      <c r="NTQ255" s="11"/>
      <c r="NTR255" s="11"/>
      <c r="NTS255" s="11"/>
      <c r="NTT255" s="11"/>
      <c r="NTU255" s="11"/>
      <c r="NTV255" s="11"/>
      <c r="NTW255" s="11"/>
      <c r="NTX255" s="11"/>
      <c r="NTY255" s="11"/>
      <c r="NTZ255" s="11"/>
      <c r="NUA255" s="11"/>
      <c r="NUB255" s="11"/>
      <c r="NUC255" s="11"/>
      <c r="NUD255" s="11"/>
      <c r="NUE255" s="11"/>
      <c r="NUF255" s="11"/>
      <c r="NUG255" s="11"/>
      <c r="NUH255" s="11"/>
      <c r="NUI255" s="11"/>
      <c r="NUJ255" s="11"/>
      <c r="NUK255" s="11"/>
      <c r="NUL255" s="11"/>
      <c r="NUM255" s="11"/>
      <c r="NUN255" s="11"/>
      <c r="NUO255" s="11"/>
      <c r="NUP255" s="11"/>
      <c r="NUQ255" s="11"/>
      <c r="NUR255" s="11"/>
      <c r="NUS255" s="11"/>
      <c r="NUT255" s="11"/>
      <c r="NUU255" s="11"/>
      <c r="NUV255" s="11"/>
      <c r="NUW255" s="11"/>
      <c r="NUX255" s="11"/>
      <c r="NUY255" s="11"/>
      <c r="NUZ255" s="11"/>
      <c r="NVA255" s="11"/>
      <c r="NVB255" s="11"/>
      <c r="NVC255" s="11"/>
      <c r="NVD255" s="11"/>
      <c r="NVE255" s="11"/>
      <c r="NVF255" s="11"/>
      <c r="NVG255" s="11"/>
      <c r="NVH255" s="11"/>
      <c r="NVI255" s="11"/>
      <c r="NVJ255" s="11"/>
      <c r="NVK255" s="11"/>
      <c r="NVL255" s="11"/>
      <c r="NVM255" s="11"/>
      <c r="NVN255" s="11"/>
      <c r="NVO255" s="11"/>
      <c r="NVP255" s="11"/>
      <c r="NVQ255" s="11"/>
      <c r="NVR255" s="11"/>
      <c r="NVS255" s="11"/>
      <c r="NVT255" s="11"/>
      <c r="NVU255" s="11"/>
      <c r="NVV255" s="11"/>
      <c r="NVW255" s="11"/>
      <c r="NVX255" s="11"/>
      <c r="NVY255" s="11"/>
      <c r="NVZ255" s="11"/>
      <c r="NWA255" s="11"/>
      <c r="NWB255" s="11"/>
      <c r="NWC255" s="11"/>
      <c r="NWD255" s="11"/>
      <c r="NWE255" s="11"/>
      <c r="NWF255" s="11"/>
      <c r="NWG255" s="11"/>
      <c r="NWH255" s="11"/>
      <c r="NWI255" s="11"/>
      <c r="NWJ255" s="11"/>
      <c r="NWK255" s="11"/>
      <c r="NWL255" s="11"/>
      <c r="NWM255" s="11"/>
      <c r="NWN255" s="11"/>
      <c r="NWO255" s="11"/>
      <c r="NWP255" s="11"/>
      <c r="NWQ255" s="11"/>
      <c r="NWR255" s="11"/>
      <c r="NWS255" s="11"/>
      <c r="NWT255" s="11"/>
      <c r="NWU255" s="11"/>
      <c r="NWV255" s="11"/>
      <c r="NWW255" s="11"/>
      <c r="NWX255" s="11"/>
      <c r="NWY255" s="11"/>
      <c r="NWZ255" s="11"/>
      <c r="NXA255" s="11"/>
      <c r="NXB255" s="11"/>
      <c r="NXC255" s="11"/>
      <c r="NXD255" s="11"/>
      <c r="NXE255" s="11"/>
      <c r="NXF255" s="11"/>
      <c r="NXG255" s="11"/>
      <c r="NXH255" s="11"/>
      <c r="NXI255" s="11"/>
      <c r="NXJ255" s="11"/>
      <c r="NXK255" s="11"/>
      <c r="NXL255" s="11"/>
      <c r="NXM255" s="11"/>
      <c r="NXN255" s="11"/>
      <c r="NXO255" s="11"/>
      <c r="NXP255" s="11"/>
      <c r="NXQ255" s="11"/>
      <c r="NXR255" s="11"/>
      <c r="NXS255" s="11"/>
      <c r="NXT255" s="11"/>
      <c r="NXU255" s="11"/>
      <c r="NXV255" s="11"/>
      <c r="NXW255" s="11"/>
      <c r="NXX255" s="11"/>
      <c r="NXY255" s="11"/>
      <c r="NXZ255" s="11"/>
      <c r="NYA255" s="11"/>
      <c r="NYB255" s="11"/>
      <c r="NYC255" s="11"/>
      <c r="NYD255" s="11"/>
      <c r="NYE255" s="11"/>
      <c r="NYF255" s="11"/>
      <c r="NYG255" s="11"/>
      <c r="NYH255" s="11"/>
      <c r="NYI255" s="11"/>
      <c r="NYJ255" s="11"/>
      <c r="NYK255" s="11"/>
      <c r="NYL255" s="11"/>
      <c r="NYM255" s="11"/>
      <c r="NYN255" s="11"/>
      <c r="NYO255" s="11"/>
      <c r="NYP255" s="11"/>
      <c r="NYQ255" s="11"/>
      <c r="NYR255" s="11"/>
      <c r="NYS255" s="11"/>
      <c r="NYT255" s="11"/>
      <c r="NYU255" s="11"/>
      <c r="NYV255" s="11"/>
      <c r="NYW255" s="11"/>
      <c r="NYX255" s="11"/>
      <c r="NYY255" s="11"/>
      <c r="NYZ255" s="11"/>
      <c r="NZA255" s="11"/>
      <c r="NZB255" s="11"/>
      <c r="NZC255" s="11"/>
      <c r="NZD255" s="11"/>
      <c r="NZE255" s="11"/>
      <c r="NZF255" s="11"/>
      <c r="NZG255" s="11"/>
      <c r="NZH255" s="11"/>
      <c r="NZI255" s="11"/>
      <c r="NZJ255" s="11"/>
      <c r="NZK255" s="11"/>
      <c r="NZL255" s="11"/>
      <c r="NZM255" s="11"/>
      <c r="NZN255" s="11"/>
      <c r="NZO255" s="11"/>
      <c r="NZP255" s="11"/>
      <c r="NZQ255" s="11"/>
      <c r="NZR255" s="11"/>
      <c r="NZS255" s="11"/>
      <c r="NZT255" s="11"/>
      <c r="NZU255" s="11"/>
      <c r="NZV255" s="11"/>
      <c r="NZW255" s="11"/>
      <c r="NZX255" s="11"/>
      <c r="NZY255" s="11"/>
      <c r="NZZ255" s="11"/>
      <c r="OAA255" s="11"/>
      <c r="OAB255" s="11"/>
      <c r="OAC255" s="11"/>
      <c r="OAD255" s="11"/>
      <c r="OAE255" s="11"/>
      <c r="OAF255" s="11"/>
      <c r="OAG255" s="11"/>
      <c r="OAH255" s="11"/>
      <c r="OAI255" s="11"/>
      <c r="OAJ255" s="11"/>
      <c r="OAK255" s="11"/>
      <c r="OAL255" s="11"/>
      <c r="OAM255" s="11"/>
      <c r="OAN255" s="11"/>
      <c r="OAO255" s="11"/>
      <c r="OAP255" s="11"/>
      <c r="OAQ255" s="11"/>
      <c r="OAR255" s="11"/>
      <c r="OAS255" s="11"/>
      <c r="OAT255" s="11"/>
      <c r="OAU255" s="11"/>
      <c r="OAV255" s="11"/>
      <c r="OAW255" s="11"/>
      <c r="OAX255" s="11"/>
      <c r="OAY255" s="11"/>
      <c r="OAZ255" s="11"/>
      <c r="OBA255" s="11"/>
      <c r="OBB255" s="11"/>
      <c r="OBC255" s="11"/>
      <c r="OBD255" s="11"/>
      <c r="OBE255" s="11"/>
      <c r="OBF255" s="11"/>
      <c r="OBG255" s="11"/>
      <c r="OBH255" s="11"/>
      <c r="OBI255" s="11"/>
      <c r="OBJ255" s="11"/>
      <c r="OBK255" s="11"/>
      <c r="OBL255" s="11"/>
      <c r="OBM255" s="11"/>
      <c r="OBN255" s="11"/>
      <c r="OBO255" s="11"/>
      <c r="OBP255" s="11"/>
      <c r="OBQ255" s="11"/>
      <c r="OBR255" s="11"/>
      <c r="OBS255" s="11"/>
      <c r="OBT255" s="11"/>
      <c r="OBU255" s="11"/>
      <c r="OBV255" s="11"/>
      <c r="OBW255" s="11"/>
      <c r="OBX255" s="11"/>
      <c r="OBY255" s="11"/>
      <c r="OBZ255" s="11"/>
      <c r="OCA255" s="11"/>
      <c r="OCB255" s="11"/>
      <c r="OCC255" s="11"/>
      <c r="OCD255" s="11"/>
      <c r="OCE255" s="11"/>
      <c r="OCF255" s="11"/>
      <c r="OCG255" s="11"/>
      <c r="OCH255" s="11"/>
      <c r="OCI255" s="11"/>
      <c r="OCJ255" s="11"/>
      <c r="OCK255" s="11"/>
      <c r="OCL255" s="11"/>
      <c r="OCM255" s="11"/>
      <c r="OCN255" s="11"/>
      <c r="OCO255" s="11"/>
      <c r="OCP255" s="11"/>
      <c r="OCQ255" s="11"/>
      <c r="OCR255" s="11"/>
      <c r="OCS255" s="11"/>
      <c r="OCT255" s="11"/>
      <c r="OCU255" s="11"/>
      <c r="OCV255" s="11"/>
      <c r="OCW255" s="11"/>
      <c r="OCX255" s="11"/>
      <c r="OCY255" s="11"/>
      <c r="OCZ255" s="11"/>
      <c r="ODA255" s="11"/>
      <c r="ODB255" s="11"/>
      <c r="ODC255" s="11"/>
      <c r="ODD255" s="11"/>
      <c r="ODE255" s="11"/>
      <c r="ODF255" s="11"/>
      <c r="ODG255" s="11"/>
      <c r="ODH255" s="11"/>
      <c r="ODI255" s="11"/>
      <c r="ODJ255" s="11"/>
      <c r="ODK255" s="11"/>
      <c r="ODL255" s="11"/>
      <c r="ODM255" s="11"/>
      <c r="ODN255" s="11"/>
      <c r="ODO255" s="11"/>
      <c r="ODP255" s="11"/>
      <c r="ODQ255" s="11"/>
      <c r="ODR255" s="11"/>
      <c r="ODS255" s="11"/>
      <c r="ODT255" s="11"/>
      <c r="ODU255" s="11"/>
      <c r="ODV255" s="11"/>
      <c r="ODW255" s="11"/>
      <c r="ODX255" s="11"/>
      <c r="ODY255" s="11"/>
      <c r="ODZ255" s="11"/>
      <c r="OEA255" s="11"/>
      <c r="OEB255" s="11"/>
      <c r="OEC255" s="11"/>
      <c r="OED255" s="11"/>
      <c r="OEE255" s="11"/>
      <c r="OEF255" s="11"/>
      <c r="OEG255" s="11"/>
      <c r="OEH255" s="11"/>
      <c r="OEI255" s="11"/>
      <c r="OEJ255" s="11"/>
      <c r="OEK255" s="11"/>
      <c r="OEL255" s="11"/>
      <c r="OEM255" s="11"/>
      <c r="OEN255" s="11"/>
      <c r="OEO255" s="11"/>
      <c r="OEP255" s="11"/>
      <c r="OEQ255" s="11"/>
      <c r="OER255" s="11"/>
      <c r="OES255" s="11"/>
      <c r="OET255" s="11"/>
      <c r="OEU255" s="11"/>
      <c r="OEV255" s="11"/>
      <c r="OEW255" s="11"/>
      <c r="OEX255" s="11"/>
      <c r="OEY255" s="11"/>
      <c r="OEZ255" s="11"/>
      <c r="OFA255" s="11"/>
      <c r="OFB255" s="11"/>
      <c r="OFC255" s="11"/>
      <c r="OFD255" s="11"/>
      <c r="OFE255" s="11"/>
      <c r="OFF255" s="11"/>
      <c r="OFG255" s="11"/>
      <c r="OFH255" s="11"/>
      <c r="OFI255" s="11"/>
      <c r="OFJ255" s="11"/>
      <c r="OFK255" s="11"/>
      <c r="OFL255" s="11"/>
      <c r="OFM255" s="11"/>
      <c r="OFN255" s="11"/>
      <c r="OFO255" s="11"/>
      <c r="OFP255" s="11"/>
      <c r="OFQ255" s="11"/>
      <c r="OFR255" s="11"/>
      <c r="OFS255" s="11"/>
      <c r="OFT255" s="11"/>
      <c r="OFU255" s="11"/>
      <c r="OFV255" s="11"/>
      <c r="OFW255" s="11"/>
      <c r="OFX255" s="11"/>
      <c r="OFY255" s="11"/>
      <c r="OFZ255" s="11"/>
      <c r="OGA255" s="11"/>
      <c r="OGB255" s="11"/>
      <c r="OGC255" s="11"/>
      <c r="OGD255" s="11"/>
      <c r="OGE255" s="11"/>
      <c r="OGF255" s="11"/>
      <c r="OGG255" s="11"/>
      <c r="OGH255" s="11"/>
      <c r="OGI255" s="11"/>
      <c r="OGJ255" s="11"/>
      <c r="OGK255" s="11"/>
      <c r="OGL255" s="11"/>
      <c r="OGM255" s="11"/>
      <c r="OGN255" s="11"/>
      <c r="OGO255" s="11"/>
      <c r="OGP255" s="11"/>
      <c r="OGQ255" s="11"/>
      <c r="OGR255" s="11"/>
      <c r="OGS255" s="11"/>
      <c r="OGT255" s="11"/>
      <c r="OGU255" s="11"/>
      <c r="OGV255" s="11"/>
      <c r="OGW255" s="11"/>
      <c r="OGX255" s="11"/>
      <c r="OGY255" s="11"/>
      <c r="OGZ255" s="11"/>
      <c r="OHA255" s="11"/>
      <c r="OHB255" s="11"/>
      <c r="OHC255" s="11"/>
      <c r="OHD255" s="11"/>
      <c r="OHE255" s="11"/>
      <c r="OHF255" s="11"/>
      <c r="OHG255" s="11"/>
      <c r="OHH255" s="11"/>
      <c r="OHI255" s="11"/>
      <c r="OHJ255" s="11"/>
      <c r="OHK255" s="11"/>
      <c r="OHL255" s="11"/>
      <c r="OHM255" s="11"/>
      <c r="OHN255" s="11"/>
      <c r="OHO255" s="11"/>
      <c r="OHP255" s="11"/>
      <c r="OHQ255" s="11"/>
      <c r="OHR255" s="11"/>
      <c r="OHS255" s="11"/>
      <c r="OHT255" s="11"/>
      <c r="OHU255" s="11"/>
      <c r="OHV255" s="11"/>
      <c r="OHW255" s="11"/>
      <c r="OHX255" s="11"/>
      <c r="OHY255" s="11"/>
      <c r="OHZ255" s="11"/>
      <c r="OIA255" s="11"/>
      <c r="OIB255" s="11"/>
      <c r="OIC255" s="11"/>
      <c r="OID255" s="11"/>
      <c r="OIE255" s="11"/>
      <c r="OIF255" s="11"/>
      <c r="OIG255" s="11"/>
      <c r="OIH255" s="11"/>
      <c r="OII255" s="11"/>
      <c r="OIJ255" s="11"/>
      <c r="OIK255" s="11"/>
      <c r="OIL255" s="11"/>
      <c r="OIM255" s="11"/>
      <c r="OIN255" s="11"/>
      <c r="OIO255" s="11"/>
      <c r="OIP255" s="11"/>
      <c r="OIQ255" s="11"/>
      <c r="OIR255" s="11"/>
      <c r="OIS255" s="11"/>
      <c r="OIT255" s="11"/>
      <c r="OIU255" s="11"/>
      <c r="OIV255" s="11"/>
      <c r="OIW255" s="11"/>
      <c r="OIX255" s="11"/>
      <c r="OIY255" s="11"/>
      <c r="OIZ255" s="11"/>
      <c r="OJA255" s="11"/>
      <c r="OJB255" s="11"/>
      <c r="OJC255" s="11"/>
      <c r="OJD255" s="11"/>
      <c r="OJE255" s="11"/>
      <c r="OJF255" s="11"/>
      <c r="OJG255" s="11"/>
      <c r="OJH255" s="11"/>
      <c r="OJI255" s="11"/>
      <c r="OJJ255" s="11"/>
      <c r="OJK255" s="11"/>
      <c r="OJL255" s="11"/>
      <c r="OJM255" s="11"/>
      <c r="OJN255" s="11"/>
      <c r="OJO255" s="11"/>
      <c r="OJP255" s="11"/>
      <c r="OJQ255" s="11"/>
      <c r="OJR255" s="11"/>
      <c r="OJS255" s="11"/>
      <c r="OJT255" s="11"/>
      <c r="OJU255" s="11"/>
      <c r="OJV255" s="11"/>
      <c r="OJW255" s="11"/>
      <c r="OJX255" s="11"/>
      <c r="OJY255" s="11"/>
      <c r="OJZ255" s="11"/>
      <c r="OKA255" s="11"/>
      <c r="OKB255" s="11"/>
      <c r="OKC255" s="11"/>
      <c r="OKD255" s="11"/>
      <c r="OKE255" s="11"/>
      <c r="OKF255" s="11"/>
      <c r="OKG255" s="11"/>
      <c r="OKH255" s="11"/>
      <c r="OKI255" s="11"/>
      <c r="OKJ255" s="11"/>
      <c r="OKK255" s="11"/>
      <c r="OKL255" s="11"/>
      <c r="OKM255" s="11"/>
      <c r="OKN255" s="11"/>
      <c r="OKO255" s="11"/>
      <c r="OKP255" s="11"/>
      <c r="OKQ255" s="11"/>
      <c r="OKR255" s="11"/>
      <c r="OKS255" s="11"/>
      <c r="OKT255" s="11"/>
      <c r="OKU255" s="11"/>
      <c r="OKV255" s="11"/>
      <c r="OKW255" s="11"/>
      <c r="OKX255" s="11"/>
      <c r="OKY255" s="11"/>
      <c r="OKZ255" s="11"/>
      <c r="OLA255" s="11"/>
      <c r="OLB255" s="11"/>
      <c r="OLC255" s="11"/>
      <c r="OLD255" s="11"/>
      <c r="OLE255" s="11"/>
      <c r="OLF255" s="11"/>
      <c r="OLG255" s="11"/>
      <c r="OLH255" s="11"/>
      <c r="OLI255" s="11"/>
      <c r="OLJ255" s="11"/>
      <c r="OLK255" s="11"/>
      <c r="OLL255" s="11"/>
      <c r="OLM255" s="11"/>
      <c r="OLN255" s="11"/>
      <c r="OLO255" s="11"/>
      <c r="OLP255" s="11"/>
      <c r="OLQ255" s="11"/>
      <c r="OLR255" s="11"/>
      <c r="OLS255" s="11"/>
      <c r="OLT255" s="11"/>
      <c r="OLU255" s="11"/>
      <c r="OLV255" s="11"/>
      <c r="OLW255" s="11"/>
      <c r="OLX255" s="11"/>
      <c r="OLY255" s="11"/>
      <c r="OLZ255" s="11"/>
      <c r="OMA255" s="11"/>
      <c r="OMB255" s="11"/>
      <c r="OMC255" s="11"/>
      <c r="OMD255" s="11"/>
      <c r="OME255" s="11"/>
      <c r="OMF255" s="11"/>
      <c r="OMG255" s="11"/>
      <c r="OMH255" s="11"/>
      <c r="OMI255" s="11"/>
      <c r="OMJ255" s="11"/>
      <c r="OMK255" s="11"/>
      <c r="OML255" s="11"/>
      <c r="OMM255" s="11"/>
      <c r="OMN255" s="11"/>
      <c r="OMO255" s="11"/>
      <c r="OMP255" s="11"/>
      <c r="OMQ255" s="11"/>
      <c r="OMR255" s="11"/>
      <c r="OMS255" s="11"/>
      <c r="OMT255" s="11"/>
      <c r="OMU255" s="11"/>
      <c r="OMV255" s="11"/>
      <c r="OMW255" s="11"/>
      <c r="OMX255" s="11"/>
      <c r="OMY255" s="11"/>
      <c r="OMZ255" s="11"/>
      <c r="ONA255" s="11"/>
      <c r="ONB255" s="11"/>
      <c r="ONC255" s="11"/>
      <c r="OND255" s="11"/>
      <c r="ONE255" s="11"/>
      <c r="ONF255" s="11"/>
      <c r="ONG255" s="11"/>
      <c r="ONH255" s="11"/>
      <c r="ONI255" s="11"/>
      <c r="ONJ255" s="11"/>
      <c r="ONK255" s="11"/>
      <c r="ONL255" s="11"/>
      <c r="ONM255" s="11"/>
      <c r="ONN255" s="11"/>
      <c r="ONO255" s="11"/>
      <c r="ONP255" s="11"/>
      <c r="ONQ255" s="11"/>
      <c r="ONR255" s="11"/>
      <c r="ONS255" s="11"/>
      <c r="ONT255" s="11"/>
      <c r="ONU255" s="11"/>
      <c r="ONV255" s="11"/>
      <c r="ONW255" s="11"/>
      <c r="ONX255" s="11"/>
      <c r="ONY255" s="11"/>
      <c r="ONZ255" s="11"/>
      <c r="OOA255" s="11"/>
      <c r="OOB255" s="11"/>
      <c r="OOC255" s="11"/>
      <c r="OOD255" s="11"/>
      <c r="OOE255" s="11"/>
      <c r="OOF255" s="11"/>
      <c r="OOG255" s="11"/>
      <c r="OOH255" s="11"/>
      <c r="OOI255" s="11"/>
      <c r="OOJ255" s="11"/>
      <c r="OOK255" s="11"/>
      <c r="OOL255" s="11"/>
      <c r="OOM255" s="11"/>
      <c r="OON255" s="11"/>
      <c r="OOO255" s="11"/>
      <c r="OOP255" s="11"/>
      <c r="OOQ255" s="11"/>
      <c r="OOR255" s="11"/>
      <c r="OOS255" s="11"/>
      <c r="OOT255" s="11"/>
      <c r="OOU255" s="11"/>
      <c r="OOV255" s="11"/>
      <c r="OOW255" s="11"/>
      <c r="OOX255" s="11"/>
      <c r="OOY255" s="11"/>
      <c r="OOZ255" s="11"/>
      <c r="OPA255" s="11"/>
      <c r="OPB255" s="11"/>
      <c r="OPC255" s="11"/>
      <c r="OPD255" s="11"/>
      <c r="OPE255" s="11"/>
      <c r="OPF255" s="11"/>
      <c r="OPG255" s="11"/>
      <c r="OPH255" s="11"/>
      <c r="OPI255" s="11"/>
      <c r="OPJ255" s="11"/>
      <c r="OPK255" s="11"/>
      <c r="OPL255" s="11"/>
      <c r="OPM255" s="11"/>
      <c r="OPN255" s="11"/>
      <c r="OPO255" s="11"/>
      <c r="OPP255" s="11"/>
      <c r="OPQ255" s="11"/>
      <c r="OPR255" s="11"/>
      <c r="OPS255" s="11"/>
      <c r="OPT255" s="11"/>
      <c r="OPU255" s="11"/>
      <c r="OPV255" s="11"/>
      <c r="OPW255" s="11"/>
      <c r="OPX255" s="11"/>
      <c r="OPY255" s="11"/>
      <c r="OPZ255" s="11"/>
      <c r="OQA255" s="11"/>
      <c r="OQB255" s="11"/>
      <c r="OQC255" s="11"/>
      <c r="OQD255" s="11"/>
      <c r="OQE255" s="11"/>
      <c r="OQF255" s="11"/>
      <c r="OQG255" s="11"/>
      <c r="OQH255" s="11"/>
      <c r="OQI255" s="11"/>
      <c r="OQJ255" s="11"/>
      <c r="OQK255" s="11"/>
      <c r="OQL255" s="11"/>
      <c r="OQM255" s="11"/>
      <c r="OQN255" s="11"/>
      <c r="OQO255" s="11"/>
      <c r="OQP255" s="11"/>
      <c r="OQQ255" s="11"/>
      <c r="OQR255" s="11"/>
      <c r="OQS255" s="11"/>
      <c r="OQT255" s="11"/>
      <c r="OQU255" s="11"/>
      <c r="OQV255" s="11"/>
      <c r="OQW255" s="11"/>
      <c r="OQX255" s="11"/>
      <c r="OQY255" s="11"/>
      <c r="OQZ255" s="11"/>
      <c r="ORA255" s="11"/>
      <c r="ORB255" s="11"/>
      <c r="ORC255" s="11"/>
      <c r="ORD255" s="11"/>
      <c r="ORE255" s="11"/>
      <c r="ORF255" s="11"/>
      <c r="ORG255" s="11"/>
      <c r="ORH255" s="11"/>
      <c r="ORI255" s="11"/>
      <c r="ORJ255" s="11"/>
      <c r="ORK255" s="11"/>
      <c r="ORL255" s="11"/>
      <c r="ORM255" s="11"/>
      <c r="ORN255" s="11"/>
      <c r="ORO255" s="11"/>
      <c r="ORP255" s="11"/>
      <c r="ORQ255" s="11"/>
      <c r="ORR255" s="11"/>
      <c r="ORS255" s="11"/>
      <c r="ORT255" s="11"/>
      <c r="ORU255" s="11"/>
      <c r="ORV255" s="11"/>
      <c r="ORW255" s="11"/>
      <c r="ORX255" s="11"/>
      <c r="ORY255" s="11"/>
      <c r="ORZ255" s="11"/>
      <c r="OSA255" s="11"/>
      <c r="OSB255" s="11"/>
      <c r="OSC255" s="11"/>
      <c r="OSD255" s="11"/>
      <c r="OSE255" s="11"/>
      <c r="OSF255" s="11"/>
      <c r="OSG255" s="11"/>
      <c r="OSH255" s="11"/>
      <c r="OSI255" s="11"/>
      <c r="OSJ255" s="11"/>
      <c r="OSK255" s="11"/>
      <c r="OSL255" s="11"/>
      <c r="OSM255" s="11"/>
      <c r="OSN255" s="11"/>
      <c r="OSO255" s="11"/>
      <c r="OSP255" s="11"/>
      <c r="OSQ255" s="11"/>
      <c r="OSR255" s="11"/>
      <c r="OSS255" s="11"/>
      <c r="OST255" s="11"/>
      <c r="OSU255" s="11"/>
      <c r="OSV255" s="11"/>
      <c r="OSW255" s="11"/>
      <c r="OSX255" s="11"/>
      <c r="OSY255" s="11"/>
      <c r="OSZ255" s="11"/>
      <c r="OTA255" s="11"/>
      <c r="OTB255" s="11"/>
      <c r="OTC255" s="11"/>
      <c r="OTD255" s="11"/>
      <c r="OTE255" s="11"/>
      <c r="OTF255" s="11"/>
      <c r="OTG255" s="11"/>
      <c r="OTH255" s="11"/>
      <c r="OTI255" s="11"/>
      <c r="OTJ255" s="11"/>
      <c r="OTK255" s="11"/>
      <c r="OTL255" s="11"/>
      <c r="OTM255" s="11"/>
      <c r="OTN255" s="11"/>
      <c r="OTO255" s="11"/>
      <c r="OTP255" s="11"/>
      <c r="OTQ255" s="11"/>
      <c r="OTR255" s="11"/>
      <c r="OTS255" s="11"/>
      <c r="OTT255" s="11"/>
      <c r="OTU255" s="11"/>
      <c r="OTV255" s="11"/>
      <c r="OTW255" s="11"/>
      <c r="OTX255" s="11"/>
      <c r="OTY255" s="11"/>
      <c r="OTZ255" s="11"/>
      <c r="OUA255" s="11"/>
      <c r="OUB255" s="11"/>
      <c r="OUC255" s="11"/>
      <c r="OUD255" s="11"/>
      <c r="OUE255" s="11"/>
      <c r="OUF255" s="11"/>
      <c r="OUG255" s="11"/>
      <c r="OUH255" s="11"/>
      <c r="OUI255" s="11"/>
      <c r="OUJ255" s="11"/>
      <c r="OUK255" s="11"/>
      <c r="OUL255" s="11"/>
      <c r="OUM255" s="11"/>
      <c r="OUN255" s="11"/>
      <c r="OUO255" s="11"/>
      <c r="OUP255" s="11"/>
      <c r="OUQ255" s="11"/>
      <c r="OUR255" s="11"/>
      <c r="OUS255" s="11"/>
      <c r="OUT255" s="11"/>
      <c r="OUU255" s="11"/>
      <c r="OUV255" s="11"/>
      <c r="OUW255" s="11"/>
      <c r="OUX255" s="11"/>
      <c r="OUY255" s="11"/>
      <c r="OUZ255" s="11"/>
      <c r="OVA255" s="11"/>
      <c r="OVB255" s="11"/>
      <c r="OVC255" s="11"/>
      <c r="OVD255" s="11"/>
      <c r="OVE255" s="11"/>
      <c r="OVF255" s="11"/>
      <c r="OVG255" s="11"/>
      <c r="OVH255" s="11"/>
      <c r="OVI255" s="11"/>
      <c r="OVJ255" s="11"/>
      <c r="OVK255" s="11"/>
      <c r="OVL255" s="11"/>
      <c r="OVM255" s="11"/>
      <c r="OVN255" s="11"/>
      <c r="OVO255" s="11"/>
      <c r="OVP255" s="11"/>
      <c r="OVQ255" s="11"/>
      <c r="OVR255" s="11"/>
      <c r="OVS255" s="11"/>
      <c r="OVT255" s="11"/>
      <c r="OVU255" s="11"/>
      <c r="OVV255" s="11"/>
      <c r="OVW255" s="11"/>
      <c r="OVX255" s="11"/>
      <c r="OVY255" s="11"/>
      <c r="OVZ255" s="11"/>
      <c r="OWA255" s="11"/>
      <c r="OWB255" s="11"/>
      <c r="OWC255" s="11"/>
      <c r="OWD255" s="11"/>
      <c r="OWE255" s="11"/>
      <c r="OWF255" s="11"/>
      <c r="OWG255" s="11"/>
      <c r="OWH255" s="11"/>
      <c r="OWI255" s="11"/>
      <c r="OWJ255" s="11"/>
      <c r="OWK255" s="11"/>
      <c r="OWL255" s="11"/>
      <c r="OWM255" s="11"/>
      <c r="OWN255" s="11"/>
      <c r="OWO255" s="11"/>
      <c r="OWP255" s="11"/>
      <c r="OWQ255" s="11"/>
      <c r="OWR255" s="11"/>
      <c r="OWS255" s="11"/>
      <c r="OWT255" s="11"/>
      <c r="OWU255" s="11"/>
      <c r="OWV255" s="11"/>
      <c r="OWW255" s="11"/>
      <c r="OWX255" s="11"/>
      <c r="OWY255" s="11"/>
      <c r="OWZ255" s="11"/>
      <c r="OXA255" s="11"/>
      <c r="OXB255" s="11"/>
      <c r="OXC255" s="11"/>
      <c r="OXD255" s="11"/>
      <c r="OXE255" s="11"/>
      <c r="OXF255" s="11"/>
      <c r="OXG255" s="11"/>
      <c r="OXH255" s="11"/>
      <c r="OXI255" s="11"/>
      <c r="OXJ255" s="11"/>
      <c r="OXK255" s="11"/>
      <c r="OXL255" s="11"/>
      <c r="OXM255" s="11"/>
      <c r="OXN255" s="11"/>
      <c r="OXO255" s="11"/>
      <c r="OXP255" s="11"/>
      <c r="OXQ255" s="11"/>
      <c r="OXR255" s="11"/>
      <c r="OXS255" s="11"/>
      <c r="OXT255" s="11"/>
      <c r="OXU255" s="11"/>
      <c r="OXV255" s="11"/>
      <c r="OXW255" s="11"/>
      <c r="OXX255" s="11"/>
      <c r="OXY255" s="11"/>
      <c r="OXZ255" s="11"/>
      <c r="OYA255" s="11"/>
      <c r="OYB255" s="11"/>
      <c r="OYC255" s="11"/>
      <c r="OYD255" s="11"/>
      <c r="OYE255" s="11"/>
      <c r="OYF255" s="11"/>
      <c r="OYG255" s="11"/>
      <c r="OYH255" s="11"/>
      <c r="OYI255" s="11"/>
      <c r="OYJ255" s="11"/>
      <c r="OYK255" s="11"/>
      <c r="OYL255" s="11"/>
      <c r="OYM255" s="11"/>
      <c r="OYN255" s="11"/>
      <c r="OYO255" s="11"/>
      <c r="OYP255" s="11"/>
      <c r="OYQ255" s="11"/>
      <c r="OYR255" s="11"/>
      <c r="OYS255" s="11"/>
      <c r="OYT255" s="11"/>
      <c r="OYU255" s="11"/>
      <c r="OYV255" s="11"/>
      <c r="OYW255" s="11"/>
      <c r="OYX255" s="11"/>
      <c r="OYY255" s="11"/>
      <c r="OYZ255" s="11"/>
      <c r="OZA255" s="11"/>
      <c r="OZB255" s="11"/>
      <c r="OZC255" s="11"/>
      <c r="OZD255" s="11"/>
      <c r="OZE255" s="11"/>
      <c r="OZF255" s="11"/>
      <c r="OZG255" s="11"/>
      <c r="OZH255" s="11"/>
      <c r="OZI255" s="11"/>
      <c r="OZJ255" s="11"/>
      <c r="OZK255" s="11"/>
      <c r="OZL255" s="11"/>
      <c r="OZM255" s="11"/>
      <c r="OZN255" s="11"/>
      <c r="OZO255" s="11"/>
      <c r="OZP255" s="11"/>
      <c r="OZQ255" s="11"/>
      <c r="OZR255" s="11"/>
      <c r="OZS255" s="11"/>
      <c r="OZT255" s="11"/>
      <c r="OZU255" s="11"/>
      <c r="OZV255" s="11"/>
      <c r="OZW255" s="11"/>
      <c r="OZX255" s="11"/>
      <c r="OZY255" s="11"/>
      <c r="OZZ255" s="11"/>
      <c r="PAA255" s="11"/>
      <c r="PAB255" s="11"/>
      <c r="PAC255" s="11"/>
      <c r="PAD255" s="11"/>
      <c r="PAE255" s="11"/>
      <c r="PAF255" s="11"/>
      <c r="PAG255" s="11"/>
      <c r="PAH255" s="11"/>
      <c r="PAI255" s="11"/>
      <c r="PAJ255" s="11"/>
      <c r="PAK255" s="11"/>
      <c r="PAL255" s="11"/>
      <c r="PAM255" s="11"/>
      <c r="PAN255" s="11"/>
      <c r="PAO255" s="11"/>
      <c r="PAP255" s="11"/>
      <c r="PAQ255" s="11"/>
      <c r="PAR255" s="11"/>
      <c r="PAS255" s="11"/>
      <c r="PAT255" s="11"/>
      <c r="PAU255" s="11"/>
      <c r="PAV255" s="11"/>
      <c r="PAW255" s="11"/>
      <c r="PAX255" s="11"/>
      <c r="PAY255" s="11"/>
      <c r="PAZ255" s="11"/>
      <c r="PBA255" s="11"/>
      <c r="PBB255" s="11"/>
      <c r="PBC255" s="11"/>
      <c r="PBD255" s="11"/>
      <c r="PBE255" s="11"/>
      <c r="PBF255" s="11"/>
      <c r="PBG255" s="11"/>
      <c r="PBH255" s="11"/>
      <c r="PBI255" s="11"/>
      <c r="PBJ255" s="11"/>
      <c r="PBK255" s="11"/>
      <c r="PBL255" s="11"/>
      <c r="PBM255" s="11"/>
      <c r="PBN255" s="11"/>
      <c r="PBO255" s="11"/>
      <c r="PBP255" s="11"/>
      <c r="PBQ255" s="11"/>
      <c r="PBR255" s="11"/>
      <c r="PBS255" s="11"/>
      <c r="PBT255" s="11"/>
      <c r="PBU255" s="11"/>
      <c r="PBV255" s="11"/>
      <c r="PBW255" s="11"/>
      <c r="PBX255" s="11"/>
      <c r="PBY255" s="11"/>
      <c r="PBZ255" s="11"/>
      <c r="PCA255" s="11"/>
      <c r="PCB255" s="11"/>
      <c r="PCC255" s="11"/>
      <c r="PCD255" s="11"/>
      <c r="PCE255" s="11"/>
      <c r="PCF255" s="11"/>
      <c r="PCG255" s="11"/>
      <c r="PCH255" s="11"/>
      <c r="PCI255" s="11"/>
      <c r="PCJ255" s="11"/>
      <c r="PCK255" s="11"/>
      <c r="PCL255" s="11"/>
      <c r="PCM255" s="11"/>
      <c r="PCN255" s="11"/>
      <c r="PCO255" s="11"/>
      <c r="PCP255" s="11"/>
      <c r="PCQ255" s="11"/>
      <c r="PCR255" s="11"/>
      <c r="PCS255" s="11"/>
      <c r="PCT255" s="11"/>
      <c r="PCU255" s="11"/>
      <c r="PCV255" s="11"/>
      <c r="PCW255" s="11"/>
      <c r="PCX255" s="11"/>
      <c r="PCY255" s="11"/>
      <c r="PCZ255" s="11"/>
      <c r="PDA255" s="11"/>
      <c r="PDB255" s="11"/>
      <c r="PDC255" s="11"/>
      <c r="PDD255" s="11"/>
      <c r="PDE255" s="11"/>
      <c r="PDF255" s="11"/>
      <c r="PDG255" s="11"/>
      <c r="PDH255" s="11"/>
      <c r="PDI255" s="11"/>
      <c r="PDJ255" s="11"/>
      <c r="PDK255" s="11"/>
      <c r="PDL255" s="11"/>
      <c r="PDM255" s="11"/>
      <c r="PDN255" s="11"/>
      <c r="PDO255" s="11"/>
      <c r="PDP255" s="11"/>
      <c r="PDQ255" s="11"/>
      <c r="PDR255" s="11"/>
      <c r="PDS255" s="11"/>
      <c r="PDT255" s="11"/>
      <c r="PDU255" s="11"/>
      <c r="PDV255" s="11"/>
      <c r="PDW255" s="11"/>
      <c r="PDX255" s="11"/>
      <c r="PDY255" s="11"/>
      <c r="PDZ255" s="11"/>
      <c r="PEA255" s="11"/>
      <c r="PEB255" s="11"/>
      <c r="PEC255" s="11"/>
      <c r="PED255" s="11"/>
      <c r="PEE255" s="11"/>
      <c r="PEF255" s="11"/>
      <c r="PEG255" s="11"/>
      <c r="PEH255" s="11"/>
      <c r="PEI255" s="11"/>
      <c r="PEJ255" s="11"/>
      <c r="PEK255" s="11"/>
      <c r="PEL255" s="11"/>
      <c r="PEM255" s="11"/>
      <c r="PEN255" s="11"/>
      <c r="PEO255" s="11"/>
      <c r="PEP255" s="11"/>
      <c r="PEQ255" s="11"/>
      <c r="PER255" s="11"/>
      <c r="PES255" s="11"/>
      <c r="PET255" s="11"/>
      <c r="PEU255" s="11"/>
      <c r="PEV255" s="11"/>
      <c r="PEW255" s="11"/>
      <c r="PEX255" s="11"/>
      <c r="PEY255" s="11"/>
      <c r="PEZ255" s="11"/>
      <c r="PFA255" s="11"/>
      <c r="PFB255" s="11"/>
      <c r="PFC255" s="11"/>
      <c r="PFD255" s="11"/>
      <c r="PFE255" s="11"/>
      <c r="PFF255" s="11"/>
      <c r="PFG255" s="11"/>
      <c r="PFH255" s="11"/>
      <c r="PFI255" s="11"/>
      <c r="PFJ255" s="11"/>
      <c r="PFK255" s="11"/>
      <c r="PFL255" s="11"/>
      <c r="PFM255" s="11"/>
      <c r="PFN255" s="11"/>
      <c r="PFO255" s="11"/>
      <c r="PFP255" s="11"/>
      <c r="PFQ255" s="11"/>
      <c r="PFR255" s="11"/>
      <c r="PFS255" s="11"/>
      <c r="PFT255" s="11"/>
      <c r="PFU255" s="11"/>
      <c r="PFV255" s="11"/>
      <c r="PFW255" s="11"/>
      <c r="PFX255" s="11"/>
      <c r="PFY255" s="11"/>
      <c r="PFZ255" s="11"/>
      <c r="PGA255" s="11"/>
      <c r="PGB255" s="11"/>
      <c r="PGC255" s="11"/>
      <c r="PGD255" s="11"/>
      <c r="PGE255" s="11"/>
      <c r="PGF255" s="11"/>
      <c r="PGG255" s="11"/>
      <c r="PGH255" s="11"/>
      <c r="PGI255" s="11"/>
      <c r="PGJ255" s="11"/>
      <c r="PGK255" s="11"/>
      <c r="PGL255" s="11"/>
      <c r="PGM255" s="11"/>
      <c r="PGN255" s="11"/>
      <c r="PGO255" s="11"/>
      <c r="PGP255" s="11"/>
      <c r="PGQ255" s="11"/>
      <c r="PGR255" s="11"/>
      <c r="PGS255" s="11"/>
      <c r="PGT255" s="11"/>
      <c r="PGU255" s="11"/>
      <c r="PGV255" s="11"/>
      <c r="PGW255" s="11"/>
      <c r="PGX255" s="11"/>
      <c r="PGY255" s="11"/>
      <c r="PGZ255" s="11"/>
      <c r="PHA255" s="11"/>
      <c r="PHB255" s="11"/>
      <c r="PHC255" s="11"/>
      <c r="PHD255" s="11"/>
      <c r="PHE255" s="11"/>
      <c r="PHF255" s="11"/>
      <c r="PHG255" s="11"/>
      <c r="PHH255" s="11"/>
      <c r="PHI255" s="11"/>
      <c r="PHJ255" s="11"/>
      <c r="PHK255" s="11"/>
      <c r="PHL255" s="11"/>
      <c r="PHM255" s="11"/>
      <c r="PHN255" s="11"/>
      <c r="PHO255" s="11"/>
      <c r="PHP255" s="11"/>
      <c r="PHQ255" s="11"/>
      <c r="PHR255" s="11"/>
      <c r="PHS255" s="11"/>
      <c r="PHT255" s="11"/>
      <c r="PHU255" s="11"/>
      <c r="PHV255" s="11"/>
      <c r="PHW255" s="11"/>
      <c r="PHX255" s="11"/>
      <c r="PHY255" s="11"/>
      <c r="PHZ255" s="11"/>
      <c r="PIA255" s="11"/>
      <c r="PIB255" s="11"/>
      <c r="PIC255" s="11"/>
      <c r="PID255" s="11"/>
      <c r="PIE255" s="11"/>
      <c r="PIF255" s="11"/>
      <c r="PIG255" s="11"/>
      <c r="PIH255" s="11"/>
      <c r="PII255" s="11"/>
      <c r="PIJ255" s="11"/>
      <c r="PIK255" s="11"/>
      <c r="PIL255" s="11"/>
      <c r="PIM255" s="11"/>
      <c r="PIN255" s="11"/>
      <c r="PIO255" s="11"/>
      <c r="PIP255" s="11"/>
      <c r="PIQ255" s="11"/>
      <c r="PIR255" s="11"/>
      <c r="PIS255" s="11"/>
      <c r="PIT255" s="11"/>
      <c r="PIU255" s="11"/>
      <c r="PIV255" s="11"/>
      <c r="PIW255" s="11"/>
      <c r="PIX255" s="11"/>
      <c r="PIY255" s="11"/>
      <c r="PIZ255" s="11"/>
      <c r="PJA255" s="11"/>
      <c r="PJB255" s="11"/>
      <c r="PJC255" s="11"/>
      <c r="PJD255" s="11"/>
      <c r="PJE255" s="11"/>
      <c r="PJF255" s="11"/>
      <c r="PJG255" s="11"/>
      <c r="PJH255" s="11"/>
      <c r="PJI255" s="11"/>
      <c r="PJJ255" s="11"/>
      <c r="PJK255" s="11"/>
      <c r="PJL255" s="11"/>
      <c r="PJM255" s="11"/>
      <c r="PJN255" s="11"/>
      <c r="PJO255" s="11"/>
      <c r="PJP255" s="11"/>
      <c r="PJQ255" s="11"/>
      <c r="PJR255" s="11"/>
      <c r="PJS255" s="11"/>
      <c r="PJT255" s="11"/>
      <c r="PJU255" s="11"/>
      <c r="PJV255" s="11"/>
      <c r="PJW255" s="11"/>
      <c r="PJX255" s="11"/>
      <c r="PJY255" s="11"/>
      <c r="PJZ255" s="11"/>
      <c r="PKA255" s="11"/>
      <c r="PKB255" s="11"/>
      <c r="PKC255" s="11"/>
      <c r="PKD255" s="11"/>
      <c r="PKE255" s="11"/>
      <c r="PKF255" s="11"/>
      <c r="PKG255" s="11"/>
      <c r="PKH255" s="11"/>
      <c r="PKI255" s="11"/>
      <c r="PKJ255" s="11"/>
      <c r="PKK255" s="11"/>
      <c r="PKL255" s="11"/>
      <c r="PKM255" s="11"/>
      <c r="PKN255" s="11"/>
      <c r="PKO255" s="11"/>
      <c r="PKP255" s="11"/>
      <c r="PKQ255" s="11"/>
      <c r="PKR255" s="11"/>
      <c r="PKS255" s="11"/>
      <c r="PKT255" s="11"/>
      <c r="PKU255" s="11"/>
      <c r="PKV255" s="11"/>
      <c r="PKW255" s="11"/>
      <c r="PKX255" s="11"/>
      <c r="PKY255" s="11"/>
      <c r="PKZ255" s="11"/>
      <c r="PLA255" s="11"/>
      <c r="PLB255" s="11"/>
      <c r="PLC255" s="11"/>
      <c r="PLD255" s="11"/>
      <c r="PLE255" s="11"/>
      <c r="PLF255" s="11"/>
      <c r="PLG255" s="11"/>
      <c r="PLH255" s="11"/>
      <c r="PLI255" s="11"/>
      <c r="PLJ255" s="11"/>
      <c r="PLK255" s="11"/>
      <c r="PLL255" s="11"/>
      <c r="PLM255" s="11"/>
      <c r="PLN255" s="11"/>
      <c r="PLO255" s="11"/>
      <c r="PLP255" s="11"/>
      <c r="PLQ255" s="11"/>
      <c r="PLR255" s="11"/>
      <c r="PLS255" s="11"/>
      <c r="PLT255" s="11"/>
      <c r="PLU255" s="11"/>
      <c r="PLV255" s="11"/>
      <c r="PLW255" s="11"/>
      <c r="PLX255" s="11"/>
      <c r="PLY255" s="11"/>
      <c r="PLZ255" s="11"/>
      <c r="PMA255" s="11"/>
      <c r="PMB255" s="11"/>
      <c r="PMC255" s="11"/>
      <c r="PMD255" s="11"/>
      <c r="PME255" s="11"/>
      <c r="PMF255" s="11"/>
      <c r="PMG255" s="11"/>
      <c r="PMH255" s="11"/>
      <c r="PMI255" s="11"/>
      <c r="PMJ255" s="11"/>
      <c r="PMK255" s="11"/>
      <c r="PML255" s="11"/>
      <c r="PMM255" s="11"/>
      <c r="PMN255" s="11"/>
      <c r="PMO255" s="11"/>
      <c r="PMP255" s="11"/>
      <c r="PMQ255" s="11"/>
      <c r="PMR255" s="11"/>
      <c r="PMS255" s="11"/>
      <c r="PMT255" s="11"/>
      <c r="PMU255" s="11"/>
      <c r="PMV255" s="11"/>
      <c r="PMW255" s="11"/>
      <c r="PMX255" s="11"/>
      <c r="PMY255" s="11"/>
      <c r="PMZ255" s="11"/>
      <c r="PNA255" s="11"/>
      <c r="PNB255" s="11"/>
      <c r="PNC255" s="11"/>
      <c r="PND255" s="11"/>
      <c r="PNE255" s="11"/>
      <c r="PNF255" s="11"/>
      <c r="PNG255" s="11"/>
      <c r="PNH255" s="11"/>
      <c r="PNI255" s="11"/>
      <c r="PNJ255" s="11"/>
      <c r="PNK255" s="11"/>
      <c r="PNL255" s="11"/>
      <c r="PNM255" s="11"/>
      <c r="PNN255" s="11"/>
      <c r="PNO255" s="11"/>
      <c r="PNP255" s="11"/>
      <c r="PNQ255" s="11"/>
      <c r="PNR255" s="11"/>
      <c r="PNS255" s="11"/>
      <c r="PNT255" s="11"/>
      <c r="PNU255" s="11"/>
      <c r="PNV255" s="11"/>
      <c r="PNW255" s="11"/>
      <c r="PNX255" s="11"/>
      <c r="PNY255" s="11"/>
      <c r="PNZ255" s="11"/>
      <c r="POA255" s="11"/>
      <c r="POB255" s="11"/>
      <c r="POC255" s="11"/>
      <c r="POD255" s="11"/>
      <c r="POE255" s="11"/>
      <c r="POF255" s="11"/>
      <c r="POG255" s="11"/>
      <c r="POH255" s="11"/>
      <c r="POI255" s="11"/>
      <c r="POJ255" s="11"/>
      <c r="POK255" s="11"/>
      <c r="POL255" s="11"/>
      <c r="POM255" s="11"/>
      <c r="PON255" s="11"/>
      <c r="POO255" s="11"/>
      <c r="POP255" s="11"/>
      <c r="POQ255" s="11"/>
      <c r="POR255" s="11"/>
      <c r="POS255" s="11"/>
      <c r="POT255" s="11"/>
      <c r="POU255" s="11"/>
      <c r="POV255" s="11"/>
      <c r="POW255" s="11"/>
      <c r="POX255" s="11"/>
      <c r="POY255" s="11"/>
      <c r="POZ255" s="11"/>
      <c r="PPA255" s="11"/>
      <c r="PPB255" s="11"/>
      <c r="PPC255" s="11"/>
      <c r="PPD255" s="11"/>
      <c r="PPE255" s="11"/>
      <c r="PPF255" s="11"/>
      <c r="PPG255" s="11"/>
      <c r="PPH255" s="11"/>
      <c r="PPI255" s="11"/>
      <c r="PPJ255" s="11"/>
      <c r="PPK255" s="11"/>
      <c r="PPL255" s="11"/>
      <c r="PPM255" s="11"/>
      <c r="PPN255" s="11"/>
      <c r="PPO255" s="11"/>
      <c r="PPP255" s="11"/>
      <c r="PPQ255" s="11"/>
      <c r="PPR255" s="11"/>
      <c r="PPS255" s="11"/>
      <c r="PPT255" s="11"/>
      <c r="PPU255" s="11"/>
      <c r="PPV255" s="11"/>
      <c r="PPW255" s="11"/>
      <c r="PPX255" s="11"/>
      <c r="PPY255" s="11"/>
      <c r="PPZ255" s="11"/>
      <c r="PQA255" s="11"/>
      <c r="PQB255" s="11"/>
      <c r="PQC255" s="11"/>
      <c r="PQD255" s="11"/>
      <c r="PQE255" s="11"/>
      <c r="PQF255" s="11"/>
      <c r="PQG255" s="11"/>
      <c r="PQH255" s="11"/>
      <c r="PQI255" s="11"/>
      <c r="PQJ255" s="11"/>
      <c r="PQK255" s="11"/>
      <c r="PQL255" s="11"/>
      <c r="PQM255" s="11"/>
      <c r="PQN255" s="11"/>
      <c r="PQO255" s="11"/>
      <c r="PQP255" s="11"/>
      <c r="PQQ255" s="11"/>
      <c r="PQR255" s="11"/>
      <c r="PQS255" s="11"/>
      <c r="PQT255" s="11"/>
      <c r="PQU255" s="11"/>
      <c r="PQV255" s="11"/>
      <c r="PQW255" s="11"/>
      <c r="PQX255" s="11"/>
      <c r="PQY255" s="11"/>
      <c r="PQZ255" s="11"/>
      <c r="PRA255" s="11"/>
      <c r="PRB255" s="11"/>
      <c r="PRC255" s="11"/>
      <c r="PRD255" s="11"/>
      <c r="PRE255" s="11"/>
      <c r="PRF255" s="11"/>
      <c r="PRG255" s="11"/>
      <c r="PRH255" s="11"/>
      <c r="PRI255" s="11"/>
      <c r="PRJ255" s="11"/>
      <c r="PRK255" s="11"/>
      <c r="PRL255" s="11"/>
      <c r="PRM255" s="11"/>
      <c r="PRN255" s="11"/>
      <c r="PRO255" s="11"/>
      <c r="PRP255" s="11"/>
      <c r="PRQ255" s="11"/>
      <c r="PRR255" s="11"/>
      <c r="PRS255" s="11"/>
      <c r="PRT255" s="11"/>
      <c r="PRU255" s="11"/>
      <c r="PRV255" s="11"/>
      <c r="PRW255" s="11"/>
      <c r="PRX255" s="11"/>
      <c r="PRY255" s="11"/>
      <c r="PRZ255" s="11"/>
      <c r="PSA255" s="11"/>
      <c r="PSB255" s="11"/>
      <c r="PSC255" s="11"/>
      <c r="PSD255" s="11"/>
      <c r="PSE255" s="11"/>
      <c r="PSF255" s="11"/>
      <c r="PSG255" s="11"/>
      <c r="PSH255" s="11"/>
      <c r="PSI255" s="11"/>
      <c r="PSJ255" s="11"/>
      <c r="PSK255" s="11"/>
      <c r="PSL255" s="11"/>
      <c r="PSM255" s="11"/>
      <c r="PSN255" s="11"/>
      <c r="PSO255" s="11"/>
      <c r="PSP255" s="11"/>
      <c r="PSQ255" s="11"/>
      <c r="PSR255" s="11"/>
      <c r="PSS255" s="11"/>
      <c r="PST255" s="11"/>
      <c r="PSU255" s="11"/>
      <c r="PSV255" s="11"/>
      <c r="PSW255" s="11"/>
      <c r="PSX255" s="11"/>
      <c r="PSY255" s="11"/>
      <c r="PSZ255" s="11"/>
      <c r="PTA255" s="11"/>
      <c r="PTB255" s="11"/>
      <c r="PTC255" s="11"/>
      <c r="PTD255" s="11"/>
      <c r="PTE255" s="11"/>
      <c r="PTF255" s="11"/>
      <c r="PTG255" s="11"/>
      <c r="PTH255" s="11"/>
      <c r="PTI255" s="11"/>
      <c r="PTJ255" s="11"/>
      <c r="PTK255" s="11"/>
      <c r="PTL255" s="11"/>
      <c r="PTM255" s="11"/>
      <c r="PTN255" s="11"/>
      <c r="PTO255" s="11"/>
      <c r="PTP255" s="11"/>
      <c r="PTQ255" s="11"/>
      <c r="PTR255" s="11"/>
      <c r="PTS255" s="11"/>
      <c r="PTT255" s="11"/>
      <c r="PTU255" s="11"/>
      <c r="PTV255" s="11"/>
      <c r="PTW255" s="11"/>
      <c r="PTX255" s="11"/>
      <c r="PTY255" s="11"/>
      <c r="PTZ255" s="11"/>
      <c r="PUA255" s="11"/>
      <c r="PUB255" s="11"/>
      <c r="PUC255" s="11"/>
      <c r="PUD255" s="11"/>
      <c r="PUE255" s="11"/>
      <c r="PUF255" s="11"/>
      <c r="PUG255" s="11"/>
      <c r="PUH255" s="11"/>
      <c r="PUI255" s="11"/>
      <c r="PUJ255" s="11"/>
      <c r="PUK255" s="11"/>
      <c r="PUL255" s="11"/>
      <c r="PUM255" s="11"/>
      <c r="PUN255" s="11"/>
      <c r="PUO255" s="11"/>
      <c r="PUP255" s="11"/>
      <c r="PUQ255" s="11"/>
      <c r="PUR255" s="11"/>
      <c r="PUS255" s="11"/>
      <c r="PUT255" s="11"/>
      <c r="PUU255" s="11"/>
      <c r="PUV255" s="11"/>
      <c r="PUW255" s="11"/>
      <c r="PUX255" s="11"/>
      <c r="PUY255" s="11"/>
      <c r="PUZ255" s="11"/>
      <c r="PVA255" s="11"/>
      <c r="PVB255" s="11"/>
      <c r="PVC255" s="11"/>
      <c r="PVD255" s="11"/>
      <c r="PVE255" s="11"/>
      <c r="PVF255" s="11"/>
      <c r="PVG255" s="11"/>
      <c r="PVH255" s="11"/>
      <c r="PVI255" s="11"/>
      <c r="PVJ255" s="11"/>
      <c r="PVK255" s="11"/>
      <c r="PVL255" s="11"/>
      <c r="PVM255" s="11"/>
      <c r="PVN255" s="11"/>
      <c r="PVO255" s="11"/>
      <c r="PVP255" s="11"/>
      <c r="PVQ255" s="11"/>
      <c r="PVR255" s="11"/>
      <c r="PVS255" s="11"/>
      <c r="PVT255" s="11"/>
      <c r="PVU255" s="11"/>
      <c r="PVV255" s="11"/>
      <c r="PVW255" s="11"/>
      <c r="PVX255" s="11"/>
      <c r="PVY255" s="11"/>
      <c r="PVZ255" s="11"/>
      <c r="PWA255" s="11"/>
      <c r="PWB255" s="11"/>
      <c r="PWC255" s="11"/>
      <c r="PWD255" s="11"/>
      <c r="PWE255" s="11"/>
      <c r="PWF255" s="11"/>
      <c r="PWG255" s="11"/>
      <c r="PWH255" s="11"/>
      <c r="PWI255" s="11"/>
      <c r="PWJ255" s="11"/>
      <c r="PWK255" s="11"/>
      <c r="PWL255" s="11"/>
      <c r="PWM255" s="11"/>
      <c r="PWN255" s="11"/>
      <c r="PWO255" s="11"/>
      <c r="PWP255" s="11"/>
      <c r="PWQ255" s="11"/>
      <c r="PWR255" s="11"/>
      <c r="PWS255" s="11"/>
      <c r="PWT255" s="11"/>
      <c r="PWU255" s="11"/>
      <c r="PWV255" s="11"/>
      <c r="PWW255" s="11"/>
      <c r="PWX255" s="11"/>
      <c r="PWY255" s="11"/>
      <c r="PWZ255" s="11"/>
      <c r="PXA255" s="11"/>
      <c r="PXB255" s="11"/>
      <c r="PXC255" s="11"/>
      <c r="PXD255" s="11"/>
      <c r="PXE255" s="11"/>
      <c r="PXF255" s="11"/>
      <c r="PXG255" s="11"/>
      <c r="PXH255" s="11"/>
      <c r="PXI255" s="11"/>
      <c r="PXJ255" s="11"/>
      <c r="PXK255" s="11"/>
      <c r="PXL255" s="11"/>
      <c r="PXM255" s="11"/>
      <c r="PXN255" s="11"/>
      <c r="PXO255" s="11"/>
      <c r="PXP255" s="11"/>
      <c r="PXQ255" s="11"/>
      <c r="PXR255" s="11"/>
      <c r="PXS255" s="11"/>
      <c r="PXT255" s="11"/>
      <c r="PXU255" s="11"/>
      <c r="PXV255" s="11"/>
      <c r="PXW255" s="11"/>
      <c r="PXX255" s="11"/>
      <c r="PXY255" s="11"/>
      <c r="PXZ255" s="11"/>
      <c r="PYA255" s="11"/>
      <c r="PYB255" s="11"/>
      <c r="PYC255" s="11"/>
      <c r="PYD255" s="11"/>
      <c r="PYE255" s="11"/>
      <c r="PYF255" s="11"/>
      <c r="PYG255" s="11"/>
      <c r="PYH255" s="11"/>
      <c r="PYI255" s="11"/>
      <c r="PYJ255" s="11"/>
      <c r="PYK255" s="11"/>
      <c r="PYL255" s="11"/>
      <c r="PYM255" s="11"/>
      <c r="PYN255" s="11"/>
      <c r="PYO255" s="11"/>
      <c r="PYP255" s="11"/>
      <c r="PYQ255" s="11"/>
      <c r="PYR255" s="11"/>
      <c r="PYS255" s="11"/>
      <c r="PYT255" s="11"/>
      <c r="PYU255" s="11"/>
      <c r="PYV255" s="11"/>
      <c r="PYW255" s="11"/>
      <c r="PYX255" s="11"/>
      <c r="PYY255" s="11"/>
      <c r="PYZ255" s="11"/>
      <c r="PZA255" s="11"/>
      <c r="PZB255" s="11"/>
      <c r="PZC255" s="11"/>
      <c r="PZD255" s="11"/>
      <c r="PZE255" s="11"/>
      <c r="PZF255" s="11"/>
      <c r="PZG255" s="11"/>
      <c r="PZH255" s="11"/>
      <c r="PZI255" s="11"/>
      <c r="PZJ255" s="11"/>
      <c r="PZK255" s="11"/>
      <c r="PZL255" s="11"/>
      <c r="PZM255" s="11"/>
      <c r="PZN255" s="11"/>
      <c r="PZO255" s="11"/>
      <c r="PZP255" s="11"/>
      <c r="PZQ255" s="11"/>
      <c r="PZR255" s="11"/>
      <c r="PZS255" s="11"/>
      <c r="PZT255" s="11"/>
      <c r="PZU255" s="11"/>
      <c r="PZV255" s="11"/>
      <c r="PZW255" s="11"/>
      <c r="PZX255" s="11"/>
      <c r="PZY255" s="11"/>
      <c r="PZZ255" s="11"/>
      <c r="QAA255" s="11"/>
      <c r="QAB255" s="11"/>
      <c r="QAC255" s="11"/>
      <c r="QAD255" s="11"/>
      <c r="QAE255" s="11"/>
      <c r="QAF255" s="11"/>
      <c r="QAG255" s="11"/>
      <c r="QAH255" s="11"/>
      <c r="QAI255" s="11"/>
      <c r="QAJ255" s="11"/>
      <c r="QAK255" s="11"/>
      <c r="QAL255" s="11"/>
      <c r="QAM255" s="11"/>
      <c r="QAN255" s="11"/>
      <c r="QAO255" s="11"/>
      <c r="QAP255" s="11"/>
      <c r="QAQ255" s="11"/>
      <c r="QAR255" s="11"/>
      <c r="QAS255" s="11"/>
      <c r="QAT255" s="11"/>
      <c r="QAU255" s="11"/>
      <c r="QAV255" s="11"/>
      <c r="QAW255" s="11"/>
      <c r="QAX255" s="11"/>
      <c r="QAY255" s="11"/>
      <c r="QAZ255" s="11"/>
      <c r="QBA255" s="11"/>
      <c r="QBB255" s="11"/>
      <c r="QBC255" s="11"/>
      <c r="QBD255" s="11"/>
      <c r="QBE255" s="11"/>
      <c r="QBF255" s="11"/>
      <c r="QBG255" s="11"/>
      <c r="QBH255" s="11"/>
      <c r="QBI255" s="11"/>
      <c r="QBJ255" s="11"/>
      <c r="QBK255" s="11"/>
      <c r="QBL255" s="11"/>
      <c r="QBM255" s="11"/>
      <c r="QBN255" s="11"/>
      <c r="QBO255" s="11"/>
      <c r="QBP255" s="11"/>
      <c r="QBQ255" s="11"/>
      <c r="QBR255" s="11"/>
      <c r="QBS255" s="11"/>
      <c r="QBT255" s="11"/>
      <c r="QBU255" s="11"/>
      <c r="QBV255" s="11"/>
      <c r="QBW255" s="11"/>
      <c r="QBX255" s="11"/>
      <c r="QBY255" s="11"/>
      <c r="QBZ255" s="11"/>
      <c r="QCA255" s="11"/>
      <c r="QCB255" s="11"/>
      <c r="QCC255" s="11"/>
      <c r="QCD255" s="11"/>
      <c r="QCE255" s="11"/>
      <c r="QCF255" s="11"/>
      <c r="QCG255" s="11"/>
      <c r="QCH255" s="11"/>
      <c r="QCI255" s="11"/>
      <c r="QCJ255" s="11"/>
      <c r="QCK255" s="11"/>
      <c r="QCL255" s="11"/>
      <c r="QCM255" s="11"/>
      <c r="QCN255" s="11"/>
      <c r="QCO255" s="11"/>
      <c r="QCP255" s="11"/>
      <c r="QCQ255" s="11"/>
      <c r="QCR255" s="11"/>
      <c r="QCS255" s="11"/>
      <c r="QCT255" s="11"/>
      <c r="QCU255" s="11"/>
      <c r="QCV255" s="11"/>
      <c r="QCW255" s="11"/>
      <c r="QCX255" s="11"/>
      <c r="QCY255" s="11"/>
      <c r="QCZ255" s="11"/>
      <c r="QDA255" s="11"/>
      <c r="QDB255" s="11"/>
      <c r="QDC255" s="11"/>
      <c r="QDD255" s="11"/>
      <c r="QDE255" s="11"/>
      <c r="QDF255" s="11"/>
      <c r="QDG255" s="11"/>
      <c r="QDH255" s="11"/>
      <c r="QDI255" s="11"/>
      <c r="QDJ255" s="11"/>
      <c r="QDK255" s="11"/>
      <c r="QDL255" s="11"/>
      <c r="QDM255" s="11"/>
      <c r="QDN255" s="11"/>
      <c r="QDO255" s="11"/>
      <c r="QDP255" s="11"/>
      <c r="QDQ255" s="11"/>
      <c r="QDR255" s="11"/>
      <c r="QDS255" s="11"/>
      <c r="QDT255" s="11"/>
      <c r="QDU255" s="11"/>
      <c r="QDV255" s="11"/>
      <c r="QDW255" s="11"/>
      <c r="QDX255" s="11"/>
      <c r="QDY255" s="11"/>
      <c r="QDZ255" s="11"/>
      <c r="QEA255" s="11"/>
      <c r="QEB255" s="11"/>
      <c r="QEC255" s="11"/>
      <c r="QED255" s="11"/>
      <c r="QEE255" s="11"/>
      <c r="QEF255" s="11"/>
      <c r="QEG255" s="11"/>
      <c r="QEH255" s="11"/>
      <c r="QEI255" s="11"/>
      <c r="QEJ255" s="11"/>
      <c r="QEK255" s="11"/>
      <c r="QEL255" s="11"/>
      <c r="QEM255" s="11"/>
      <c r="QEN255" s="11"/>
      <c r="QEO255" s="11"/>
      <c r="QEP255" s="11"/>
      <c r="QEQ255" s="11"/>
      <c r="QER255" s="11"/>
      <c r="QES255" s="11"/>
      <c r="QET255" s="11"/>
      <c r="QEU255" s="11"/>
      <c r="QEV255" s="11"/>
      <c r="QEW255" s="11"/>
      <c r="QEX255" s="11"/>
      <c r="QEY255" s="11"/>
      <c r="QEZ255" s="11"/>
      <c r="QFA255" s="11"/>
      <c r="QFB255" s="11"/>
      <c r="QFC255" s="11"/>
      <c r="QFD255" s="11"/>
      <c r="QFE255" s="11"/>
      <c r="QFF255" s="11"/>
      <c r="QFG255" s="11"/>
      <c r="QFH255" s="11"/>
      <c r="QFI255" s="11"/>
      <c r="QFJ255" s="11"/>
      <c r="QFK255" s="11"/>
      <c r="QFL255" s="11"/>
      <c r="QFM255" s="11"/>
      <c r="QFN255" s="11"/>
      <c r="QFO255" s="11"/>
      <c r="QFP255" s="11"/>
      <c r="QFQ255" s="11"/>
      <c r="QFR255" s="11"/>
      <c r="QFS255" s="11"/>
      <c r="QFT255" s="11"/>
      <c r="QFU255" s="11"/>
      <c r="QFV255" s="11"/>
      <c r="QFW255" s="11"/>
      <c r="QFX255" s="11"/>
      <c r="QFY255" s="11"/>
      <c r="QFZ255" s="11"/>
      <c r="QGA255" s="11"/>
      <c r="QGB255" s="11"/>
      <c r="QGC255" s="11"/>
      <c r="QGD255" s="11"/>
      <c r="QGE255" s="11"/>
      <c r="QGF255" s="11"/>
      <c r="QGG255" s="11"/>
      <c r="QGH255" s="11"/>
      <c r="QGI255" s="11"/>
      <c r="QGJ255" s="11"/>
      <c r="QGK255" s="11"/>
      <c r="QGL255" s="11"/>
      <c r="QGM255" s="11"/>
      <c r="QGN255" s="11"/>
      <c r="QGO255" s="11"/>
      <c r="QGP255" s="11"/>
      <c r="QGQ255" s="11"/>
      <c r="QGR255" s="11"/>
      <c r="QGS255" s="11"/>
      <c r="QGT255" s="11"/>
      <c r="QGU255" s="11"/>
      <c r="QGV255" s="11"/>
      <c r="QGW255" s="11"/>
      <c r="QGX255" s="11"/>
      <c r="QGY255" s="11"/>
      <c r="QGZ255" s="11"/>
      <c r="QHA255" s="11"/>
      <c r="QHB255" s="11"/>
      <c r="QHC255" s="11"/>
      <c r="QHD255" s="11"/>
      <c r="QHE255" s="11"/>
      <c r="QHF255" s="11"/>
      <c r="QHG255" s="11"/>
      <c r="QHH255" s="11"/>
      <c r="QHI255" s="11"/>
      <c r="QHJ255" s="11"/>
      <c r="QHK255" s="11"/>
      <c r="QHL255" s="11"/>
      <c r="QHM255" s="11"/>
      <c r="QHN255" s="11"/>
      <c r="QHO255" s="11"/>
      <c r="QHP255" s="11"/>
      <c r="QHQ255" s="11"/>
      <c r="QHR255" s="11"/>
      <c r="QHS255" s="11"/>
      <c r="QHT255" s="11"/>
      <c r="QHU255" s="11"/>
      <c r="QHV255" s="11"/>
      <c r="QHW255" s="11"/>
      <c r="QHX255" s="11"/>
      <c r="QHY255" s="11"/>
      <c r="QHZ255" s="11"/>
      <c r="QIA255" s="11"/>
      <c r="QIB255" s="11"/>
      <c r="QIC255" s="11"/>
      <c r="QID255" s="11"/>
      <c r="QIE255" s="11"/>
      <c r="QIF255" s="11"/>
      <c r="QIG255" s="11"/>
      <c r="QIH255" s="11"/>
      <c r="QII255" s="11"/>
      <c r="QIJ255" s="11"/>
      <c r="QIK255" s="11"/>
      <c r="QIL255" s="11"/>
      <c r="QIM255" s="11"/>
      <c r="QIN255" s="11"/>
      <c r="QIO255" s="11"/>
      <c r="QIP255" s="11"/>
      <c r="QIQ255" s="11"/>
      <c r="QIR255" s="11"/>
      <c r="QIS255" s="11"/>
      <c r="QIT255" s="11"/>
      <c r="QIU255" s="11"/>
      <c r="QIV255" s="11"/>
      <c r="QIW255" s="11"/>
      <c r="QIX255" s="11"/>
      <c r="QIY255" s="11"/>
      <c r="QIZ255" s="11"/>
      <c r="QJA255" s="11"/>
      <c r="QJB255" s="11"/>
      <c r="QJC255" s="11"/>
      <c r="QJD255" s="11"/>
      <c r="QJE255" s="11"/>
      <c r="QJF255" s="11"/>
      <c r="QJG255" s="11"/>
      <c r="QJH255" s="11"/>
      <c r="QJI255" s="11"/>
      <c r="QJJ255" s="11"/>
      <c r="QJK255" s="11"/>
      <c r="QJL255" s="11"/>
      <c r="QJM255" s="11"/>
      <c r="QJN255" s="11"/>
      <c r="QJO255" s="11"/>
      <c r="QJP255" s="11"/>
      <c r="QJQ255" s="11"/>
      <c r="QJR255" s="11"/>
      <c r="QJS255" s="11"/>
      <c r="QJT255" s="11"/>
      <c r="QJU255" s="11"/>
      <c r="QJV255" s="11"/>
      <c r="QJW255" s="11"/>
      <c r="QJX255" s="11"/>
      <c r="QJY255" s="11"/>
      <c r="QJZ255" s="11"/>
      <c r="QKA255" s="11"/>
      <c r="QKB255" s="11"/>
      <c r="QKC255" s="11"/>
      <c r="QKD255" s="11"/>
      <c r="QKE255" s="11"/>
      <c r="QKF255" s="11"/>
      <c r="QKG255" s="11"/>
      <c r="QKH255" s="11"/>
      <c r="QKI255" s="11"/>
      <c r="QKJ255" s="11"/>
      <c r="QKK255" s="11"/>
      <c r="QKL255" s="11"/>
      <c r="QKM255" s="11"/>
      <c r="QKN255" s="11"/>
      <c r="QKO255" s="11"/>
      <c r="QKP255" s="11"/>
      <c r="QKQ255" s="11"/>
      <c r="QKR255" s="11"/>
      <c r="QKS255" s="11"/>
      <c r="QKT255" s="11"/>
      <c r="QKU255" s="11"/>
      <c r="QKV255" s="11"/>
      <c r="QKW255" s="11"/>
      <c r="QKX255" s="11"/>
      <c r="QKY255" s="11"/>
      <c r="QKZ255" s="11"/>
      <c r="QLA255" s="11"/>
      <c r="QLB255" s="11"/>
      <c r="QLC255" s="11"/>
      <c r="QLD255" s="11"/>
      <c r="QLE255" s="11"/>
      <c r="QLF255" s="11"/>
      <c r="QLG255" s="11"/>
      <c r="QLH255" s="11"/>
      <c r="QLI255" s="11"/>
      <c r="QLJ255" s="11"/>
      <c r="QLK255" s="11"/>
      <c r="QLL255" s="11"/>
      <c r="QLM255" s="11"/>
      <c r="QLN255" s="11"/>
      <c r="QLO255" s="11"/>
      <c r="QLP255" s="11"/>
      <c r="QLQ255" s="11"/>
      <c r="QLR255" s="11"/>
      <c r="QLS255" s="11"/>
      <c r="QLT255" s="11"/>
      <c r="QLU255" s="11"/>
      <c r="QLV255" s="11"/>
      <c r="QLW255" s="11"/>
      <c r="QLX255" s="11"/>
      <c r="QLY255" s="11"/>
      <c r="QLZ255" s="11"/>
      <c r="QMA255" s="11"/>
      <c r="QMB255" s="11"/>
      <c r="QMC255" s="11"/>
      <c r="QMD255" s="11"/>
      <c r="QME255" s="11"/>
      <c r="QMF255" s="11"/>
      <c r="QMG255" s="11"/>
      <c r="QMH255" s="11"/>
      <c r="QMI255" s="11"/>
      <c r="QMJ255" s="11"/>
      <c r="QMK255" s="11"/>
      <c r="QML255" s="11"/>
      <c r="QMM255" s="11"/>
      <c r="QMN255" s="11"/>
      <c r="QMO255" s="11"/>
      <c r="QMP255" s="11"/>
      <c r="QMQ255" s="11"/>
      <c r="QMR255" s="11"/>
      <c r="QMS255" s="11"/>
      <c r="QMT255" s="11"/>
      <c r="QMU255" s="11"/>
      <c r="QMV255" s="11"/>
      <c r="QMW255" s="11"/>
      <c r="QMX255" s="11"/>
      <c r="QMY255" s="11"/>
      <c r="QMZ255" s="11"/>
      <c r="QNA255" s="11"/>
      <c r="QNB255" s="11"/>
      <c r="QNC255" s="11"/>
      <c r="QND255" s="11"/>
      <c r="QNE255" s="11"/>
      <c r="QNF255" s="11"/>
      <c r="QNG255" s="11"/>
      <c r="QNH255" s="11"/>
      <c r="QNI255" s="11"/>
      <c r="QNJ255" s="11"/>
      <c r="QNK255" s="11"/>
      <c r="QNL255" s="11"/>
      <c r="QNM255" s="11"/>
      <c r="QNN255" s="11"/>
      <c r="QNO255" s="11"/>
      <c r="QNP255" s="11"/>
      <c r="QNQ255" s="11"/>
      <c r="QNR255" s="11"/>
      <c r="QNS255" s="11"/>
      <c r="QNT255" s="11"/>
      <c r="QNU255" s="11"/>
      <c r="QNV255" s="11"/>
      <c r="QNW255" s="11"/>
      <c r="QNX255" s="11"/>
      <c r="QNY255" s="11"/>
      <c r="QNZ255" s="11"/>
      <c r="QOA255" s="11"/>
      <c r="QOB255" s="11"/>
      <c r="QOC255" s="11"/>
      <c r="QOD255" s="11"/>
      <c r="QOE255" s="11"/>
      <c r="QOF255" s="11"/>
      <c r="QOG255" s="11"/>
      <c r="QOH255" s="11"/>
      <c r="QOI255" s="11"/>
      <c r="QOJ255" s="11"/>
      <c r="QOK255" s="11"/>
      <c r="QOL255" s="11"/>
      <c r="QOM255" s="11"/>
      <c r="QON255" s="11"/>
      <c r="QOO255" s="11"/>
      <c r="QOP255" s="11"/>
      <c r="QOQ255" s="11"/>
      <c r="QOR255" s="11"/>
      <c r="QOS255" s="11"/>
      <c r="QOT255" s="11"/>
      <c r="QOU255" s="11"/>
      <c r="QOV255" s="11"/>
      <c r="QOW255" s="11"/>
      <c r="QOX255" s="11"/>
      <c r="QOY255" s="11"/>
      <c r="QOZ255" s="11"/>
      <c r="QPA255" s="11"/>
      <c r="QPB255" s="11"/>
      <c r="QPC255" s="11"/>
      <c r="QPD255" s="11"/>
      <c r="QPE255" s="11"/>
      <c r="QPF255" s="11"/>
      <c r="QPG255" s="11"/>
      <c r="QPH255" s="11"/>
      <c r="QPI255" s="11"/>
      <c r="QPJ255" s="11"/>
      <c r="QPK255" s="11"/>
      <c r="QPL255" s="11"/>
      <c r="QPM255" s="11"/>
      <c r="QPN255" s="11"/>
      <c r="QPO255" s="11"/>
      <c r="QPP255" s="11"/>
      <c r="QPQ255" s="11"/>
      <c r="QPR255" s="11"/>
      <c r="QPS255" s="11"/>
      <c r="QPT255" s="11"/>
      <c r="QPU255" s="11"/>
      <c r="QPV255" s="11"/>
      <c r="QPW255" s="11"/>
      <c r="QPX255" s="11"/>
      <c r="QPY255" s="11"/>
      <c r="QPZ255" s="11"/>
      <c r="QQA255" s="11"/>
      <c r="QQB255" s="11"/>
      <c r="QQC255" s="11"/>
      <c r="QQD255" s="11"/>
      <c r="QQE255" s="11"/>
      <c r="QQF255" s="11"/>
      <c r="QQG255" s="11"/>
      <c r="QQH255" s="11"/>
      <c r="QQI255" s="11"/>
      <c r="QQJ255" s="11"/>
      <c r="QQK255" s="11"/>
      <c r="QQL255" s="11"/>
      <c r="QQM255" s="11"/>
      <c r="QQN255" s="11"/>
      <c r="QQO255" s="11"/>
      <c r="QQP255" s="11"/>
      <c r="QQQ255" s="11"/>
      <c r="QQR255" s="11"/>
      <c r="QQS255" s="11"/>
      <c r="QQT255" s="11"/>
      <c r="QQU255" s="11"/>
      <c r="QQV255" s="11"/>
      <c r="QQW255" s="11"/>
      <c r="QQX255" s="11"/>
      <c r="QQY255" s="11"/>
      <c r="QQZ255" s="11"/>
      <c r="QRA255" s="11"/>
      <c r="QRB255" s="11"/>
      <c r="QRC255" s="11"/>
      <c r="QRD255" s="11"/>
      <c r="QRE255" s="11"/>
      <c r="QRF255" s="11"/>
      <c r="QRG255" s="11"/>
      <c r="QRH255" s="11"/>
      <c r="QRI255" s="11"/>
      <c r="QRJ255" s="11"/>
      <c r="QRK255" s="11"/>
      <c r="QRL255" s="11"/>
      <c r="QRM255" s="11"/>
      <c r="QRN255" s="11"/>
      <c r="QRO255" s="11"/>
      <c r="QRP255" s="11"/>
      <c r="QRQ255" s="11"/>
      <c r="QRR255" s="11"/>
      <c r="QRS255" s="11"/>
      <c r="QRT255" s="11"/>
      <c r="QRU255" s="11"/>
      <c r="QRV255" s="11"/>
      <c r="QRW255" s="11"/>
      <c r="QRX255" s="11"/>
      <c r="QRY255" s="11"/>
      <c r="QRZ255" s="11"/>
      <c r="QSA255" s="11"/>
      <c r="QSB255" s="11"/>
      <c r="QSC255" s="11"/>
      <c r="QSD255" s="11"/>
      <c r="QSE255" s="11"/>
      <c r="QSF255" s="11"/>
      <c r="QSG255" s="11"/>
      <c r="QSH255" s="11"/>
      <c r="QSI255" s="11"/>
      <c r="QSJ255" s="11"/>
      <c r="QSK255" s="11"/>
      <c r="QSL255" s="11"/>
      <c r="QSM255" s="11"/>
      <c r="QSN255" s="11"/>
      <c r="QSO255" s="11"/>
      <c r="QSP255" s="11"/>
      <c r="QSQ255" s="11"/>
      <c r="QSR255" s="11"/>
      <c r="QSS255" s="11"/>
      <c r="QST255" s="11"/>
      <c r="QSU255" s="11"/>
      <c r="QSV255" s="11"/>
      <c r="QSW255" s="11"/>
      <c r="QSX255" s="11"/>
      <c r="QSY255" s="11"/>
      <c r="QSZ255" s="11"/>
      <c r="QTA255" s="11"/>
      <c r="QTB255" s="11"/>
      <c r="QTC255" s="11"/>
      <c r="QTD255" s="11"/>
      <c r="QTE255" s="11"/>
      <c r="QTF255" s="11"/>
      <c r="QTG255" s="11"/>
      <c r="QTH255" s="11"/>
      <c r="QTI255" s="11"/>
      <c r="QTJ255" s="11"/>
      <c r="QTK255" s="11"/>
      <c r="QTL255" s="11"/>
      <c r="QTM255" s="11"/>
      <c r="QTN255" s="11"/>
      <c r="QTO255" s="11"/>
      <c r="QTP255" s="11"/>
      <c r="QTQ255" s="11"/>
      <c r="QTR255" s="11"/>
      <c r="QTS255" s="11"/>
      <c r="QTT255" s="11"/>
      <c r="QTU255" s="11"/>
      <c r="QTV255" s="11"/>
      <c r="QTW255" s="11"/>
      <c r="QTX255" s="11"/>
      <c r="QTY255" s="11"/>
      <c r="QTZ255" s="11"/>
      <c r="QUA255" s="11"/>
      <c r="QUB255" s="11"/>
      <c r="QUC255" s="11"/>
      <c r="QUD255" s="11"/>
      <c r="QUE255" s="11"/>
      <c r="QUF255" s="11"/>
      <c r="QUG255" s="11"/>
      <c r="QUH255" s="11"/>
      <c r="QUI255" s="11"/>
      <c r="QUJ255" s="11"/>
      <c r="QUK255" s="11"/>
      <c r="QUL255" s="11"/>
      <c r="QUM255" s="11"/>
      <c r="QUN255" s="11"/>
      <c r="QUO255" s="11"/>
      <c r="QUP255" s="11"/>
      <c r="QUQ255" s="11"/>
      <c r="QUR255" s="11"/>
      <c r="QUS255" s="11"/>
      <c r="QUT255" s="11"/>
      <c r="QUU255" s="11"/>
      <c r="QUV255" s="11"/>
      <c r="QUW255" s="11"/>
      <c r="QUX255" s="11"/>
      <c r="QUY255" s="11"/>
      <c r="QUZ255" s="11"/>
      <c r="QVA255" s="11"/>
      <c r="QVB255" s="11"/>
      <c r="QVC255" s="11"/>
      <c r="QVD255" s="11"/>
      <c r="QVE255" s="11"/>
      <c r="QVF255" s="11"/>
      <c r="QVG255" s="11"/>
      <c r="QVH255" s="11"/>
      <c r="QVI255" s="11"/>
      <c r="QVJ255" s="11"/>
      <c r="QVK255" s="11"/>
      <c r="QVL255" s="11"/>
      <c r="QVM255" s="11"/>
      <c r="QVN255" s="11"/>
      <c r="QVO255" s="11"/>
      <c r="QVP255" s="11"/>
      <c r="QVQ255" s="11"/>
      <c r="QVR255" s="11"/>
      <c r="QVS255" s="11"/>
      <c r="QVT255" s="11"/>
      <c r="QVU255" s="11"/>
      <c r="QVV255" s="11"/>
      <c r="QVW255" s="11"/>
      <c r="QVX255" s="11"/>
      <c r="QVY255" s="11"/>
      <c r="QVZ255" s="11"/>
      <c r="QWA255" s="11"/>
      <c r="QWB255" s="11"/>
      <c r="QWC255" s="11"/>
      <c r="QWD255" s="11"/>
      <c r="QWE255" s="11"/>
      <c r="QWF255" s="11"/>
      <c r="QWG255" s="11"/>
      <c r="QWH255" s="11"/>
      <c r="QWI255" s="11"/>
      <c r="QWJ255" s="11"/>
      <c r="QWK255" s="11"/>
      <c r="QWL255" s="11"/>
      <c r="QWM255" s="11"/>
      <c r="QWN255" s="11"/>
      <c r="QWO255" s="11"/>
      <c r="QWP255" s="11"/>
      <c r="QWQ255" s="11"/>
      <c r="QWR255" s="11"/>
      <c r="QWS255" s="11"/>
      <c r="QWT255" s="11"/>
      <c r="QWU255" s="11"/>
      <c r="QWV255" s="11"/>
      <c r="QWW255" s="11"/>
      <c r="QWX255" s="11"/>
      <c r="QWY255" s="11"/>
      <c r="QWZ255" s="11"/>
      <c r="QXA255" s="11"/>
      <c r="QXB255" s="11"/>
      <c r="QXC255" s="11"/>
      <c r="QXD255" s="11"/>
      <c r="QXE255" s="11"/>
      <c r="QXF255" s="11"/>
      <c r="QXG255" s="11"/>
      <c r="QXH255" s="11"/>
      <c r="QXI255" s="11"/>
      <c r="QXJ255" s="11"/>
      <c r="QXK255" s="11"/>
      <c r="QXL255" s="11"/>
      <c r="QXM255" s="11"/>
      <c r="QXN255" s="11"/>
      <c r="QXO255" s="11"/>
      <c r="QXP255" s="11"/>
      <c r="QXQ255" s="11"/>
      <c r="QXR255" s="11"/>
      <c r="QXS255" s="11"/>
      <c r="QXT255" s="11"/>
      <c r="QXU255" s="11"/>
      <c r="QXV255" s="11"/>
      <c r="QXW255" s="11"/>
      <c r="QXX255" s="11"/>
      <c r="QXY255" s="11"/>
      <c r="QXZ255" s="11"/>
      <c r="QYA255" s="11"/>
      <c r="QYB255" s="11"/>
      <c r="QYC255" s="11"/>
      <c r="QYD255" s="11"/>
      <c r="QYE255" s="11"/>
      <c r="QYF255" s="11"/>
      <c r="QYG255" s="11"/>
      <c r="QYH255" s="11"/>
      <c r="QYI255" s="11"/>
      <c r="QYJ255" s="11"/>
      <c r="QYK255" s="11"/>
      <c r="QYL255" s="11"/>
      <c r="QYM255" s="11"/>
      <c r="QYN255" s="11"/>
      <c r="QYO255" s="11"/>
      <c r="QYP255" s="11"/>
      <c r="QYQ255" s="11"/>
      <c r="QYR255" s="11"/>
      <c r="QYS255" s="11"/>
      <c r="QYT255" s="11"/>
      <c r="QYU255" s="11"/>
      <c r="QYV255" s="11"/>
      <c r="QYW255" s="11"/>
      <c r="QYX255" s="11"/>
      <c r="QYY255" s="11"/>
      <c r="QYZ255" s="11"/>
      <c r="QZA255" s="11"/>
      <c r="QZB255" s="11"/>
      <c r="QZC255" s="11"/>
      <c r="QZD255" s="11"/>
      <c r="QZE255" s="11"/>
      <c r="QZF255" s="11"/>
      <c r="QZG255" s="11"/>
      <c r="QZH255" s="11"/>
      <c r="QZI255" s="11"/>
      <c r="QZJ255" s="11"/>
      <c r="QZK255" s="11"/>
      <c r="QZL255" s="11"/>
      <c r="QZM255" s="11"/>
      <c r="QZN255" s="11"/>
      <c r="QZO255" s="11"/>
      <c r="QZP255" s="11"/>
      <c r="QZQ255" s="11"/>
      <c r="QZR255" s="11"/>
      <c r="QZS255" s="11"/>
      <c r="QZT255" s="11"/>
      <c r="QZU255" s="11"/>
      <c r="QZV255" s="11"/>
      <c r="QZW255" s="11"/>
      <c r="QZX255" s="11"/>
      <c r="QZY255" s="11"/>
      <c r="QZZ255" s="11"/>
      <c r="RAA255" s="11"/>
      <c r="RAB255" s="11"/>
      <c r="RAC255" s="11"/>
      <c r="RAD255" s="11"/>
      <c r="RAE255" s="11"/>
      <c r="RAF255" s="11"/>
      <c r="RAG255" s="11"/>
      <c r="RAH255" s="11"/>
      <c r="RAI255" s="11"/>
      <c r="RAJ255" s="11"/>
      <c r="RAK255" s="11"/>
      <c r="RAL255" s="11"/>
      <c r="RAM255" s="11"/>
      <c r="RAN255" s="11"/>
      <c r="RAO255" s="11"/>
      <c r="RAP255" s="11"/>
      <c r="RAQ255" s="11"/>
      <c r="RAR255" s="11"/>
      <c r="RAS255" s="11"/>
      <c r="RAT255" s="11"/>
      <c r="RAU255" s="11"/>
      <c r="RAV255" s="11"/>
      <c r="RAW255" s="11"/>
      <c r="RAX255" s="11"/>
      <c r="RAY255" s="11"/>
      <c r="RAZ255" s="11"/>
      <c r="RBA255" s="11"/>
      <c r="RBB255" s="11"/>
      <c r="RBC255" s="11"/>
      <c r="RBD255" s="11"/>
      <c r="RBE255" s="11"/>
      <c r="RBF255" s="11"/>
      <c r="RBG255" s="11"/>
      <c r="RBH255" s="11"/>
      <c r="RBI255" s="11"/>
      <c r="RBJ255" s="11"/>
      <c r="RBK255" s="11"/>
      <c r="RBL255" s="11"/>
      <c r="RBM255" s="11"/>
      <c r="RBN255" s="11"/>
      <c r="RBO255" s="11"/>
      <c r="RBP255" s="11"/>
      <c r="RBQ255" s="11"/>
      <c r="RBR255" s="11"/>
      <c r="RBS255" s="11"/>
      <c r="RBT255" s="11"/>
      <c r="RBU255" s="11"/>
      <c r="RBV255" s="11"/>
      <c r="RBW255" s="11"/>
      <c r="RBX255" s="11"/>
      <c r="RBY255" s="11"/>
      <c r="RBZ255" s="11"/>
      <c r="RCA255" s="11"/>
      <c r="RCB255" s="11"/>
      <c r="RCC255" s="11"/>
      <c r="RCD255" s="11"/>
      <c r="RCE255" s="11"/>
      <c r="RCF255" s="11"/>
      <c r="RCG255" s="11"/>
      <c r="RCH255" s="11"/>
      <c r="RCI255" s="11"/>
      <c r="RCJ255" s="11"/>
      <c r="RCK255" s="11"/>
      <c r="RCL255" s="11"/>
      <c r="RCM255" s="11"/>
      <c r="RCN255" s="11"/>
      <c r="RCO255" s="11"/>
      <c r="RCP255" s="11"/>
      <c r="RCQ255" s="11"/>
      <c r="RCR255" s="11"/>
      <c r="RCS255" s="11"/>
      <c r="RCT255" s="11"/>
      <c r="RCU255" s="11"/>
      <c r="RCV255" s="11"/>
      <c r="RCW255" s="11"/>
      <c r="RCX255" s="11"/>
      <c r="RCY255" s="11"/>
      <c r="RCZ255" s="11"/>
      <c r="RDA255" s="11"/>
      <c r="RDB255" s="11"/>
      <c r="RDC255" s="11"/>
      <c r="RDD255" s="11"/>
      <c r="RDE255" s="11"/>
      <c r="RDF255" s="11"/>
      <c r="RDG255" s="11"/>
      <c r="RDH255" s="11"/>
      <c r="RDI255" s="11"/>
      <c r="RDJ255" s="11"/>
      <c r="RDK255" s="11"/>
      <c r="RDL255" s="11"/>
      <c r="RDM255" s="11"/>
      <c r="RDN255" s="11"/>
      <c r="RDO255" s="11"/>
      <c r="RDP255" s="11"/>
      <c r="RDQ255" s="11"/>
      <c r="RDR255" s="11"/>
      <c r="RDS255" s="11"/>
      <c r="RDT255" s="11"/>
      <c r="RDU255" s="11"/>
      <c r="RDV255" s="11"/>
      <c r="RDW255" s="11"/>
      <c r="RDX255" s="11"/>
      <c r="RDY255" s="11"/>
      <c r="RDZ255" s="11"/>
      <c r="REA255" s="11"/>
      <c r="REB255" s="11"/>
      <c r="REC255" s="11"/>
      <c r="RED255" s="11"/>
      <c r="REE255" s="11"/>
      <c r="REF255" s="11"/>
      <c r="REG255" s="11"/>
      <c r="REH255" s="11"/>
      <c r="REI255" s="11"/>
      <c r="REJ255" s="11"/>
      <c r="REK255" s="11"/>
      <c r="REL255" s="11"/>
      <c r="REM255" s="11"/>
      <c r="REN255" s="11"/>
      <c r="REO255" s="11"/>
      <c r="REP255" s="11"/>
      <c r="REQ255" s="11"/>
      <c r="RER255" s="11"/>
      <c r="RES255" s="11"/>
      <c r="RET255" s="11"/>
      <c r="REU255" s="11"/>
      <c r="REV255" s="11"/>
      <c r="REW255" s="11"/>
      <c r="REX255" s="11"/>
      <c r="REY255" s="11"/>
      <c r="REZ255" s="11"/>
      <c r="RFA255" s="11"/>
      <c r="RFB255" s="11"/>
      <c r="RFC255" s="11"/>
      <c r="RFD255" s="11"/>
      <c r="RFE255" s="11"/>
      <c r="RFF255" s="11"/>
      <c r="RFG255" s="11"/>
      <c r="RFH255" s="11"/>
      <c r="RFI255" s="11"/>
      <c r="RFJ255" s="11"/>
      <c r="RFK255" s="11"/>
      <c r="RFL255" s="11"/>
      <c r="RFM255" s="11"/>
      <c r="RFN255" s="11"/>
      <c r="RFO255" s="11"/>
      <c r="RFP255" s="11"/>
      <c r="RFQ255" s="11"/>
      <c r="RFR255" s="11"/>
      <c r="RFS255" s="11"/>
      <c r="RFT255" s="11"/>
      <c r="RFU255" s="11"/>
      <c r="RFV255" s="11"/>
      <c r="RFW255" s="11"/>
      <c r="RFX255" s="11"/>
      <c r="RFY255" s="11"/>
      <c r="RFZ255" s="11"/>
      <c r="RGA255" s="11"/>
      <c r="RGB255" s="11"/>
      <c r="RGC255" s="11"/>
      <c r="RGD255" s="11"/>
      <c r="RGE255" s="11"/>
      <c r="RGF255" s="11"/>
      <c r="RGG255" s="11"/>
      <c r="RGH255" s="11"/>
      <c r="RGI255" s="11"/>
      <c r="RGJ255" s="11"/>
      <c r="RGK255" s="11"/>
      <c r="RGL255" s="11"/>
      <c r="RGM255" s="11"/>
      <c r="RGN255" s="11"/>
      <c r="RGO255" s="11"/>
      <c r="RGP255" s="11"/>
      <c r="RGQ255" s="11"/>
      <c r="RGR255" s="11"/>
      <c r="RGS255" s="11"/>
      <c r="RGT255" s="11"/>
      <c r="RGU255" s="11"/>
      <c r="RGV255" s="11"/>
      <c r="RGW255" s="11"/>
      <c r="RGX255" s="11"/>
      <c r="RGY255" s="11"/>
      <c r="RGZ255" s="11"/>
      <c r="RHA255" s="11"/>
      <c r="RHB255" s="11"/>
      <c r="RHC255" s="11"/>
      <c r="RHD255" s="11"/>
      <c r="RHE255" s="11"/>
      <c r="RHF255" s="11"/>
      <c r="RHG255" s="11"/>
      <c r="RHH255" s="11"/>
      <c r="RHI255" s="11"/>
      <c r="RHJ255" s="11"/>
      <c r="RHK255" s="11"/>
      <c r="RHL255" s="11"/>
      <c r="RHM255" s="11"/>
      <c r="RHN255" s="11"/>
      <c r="RHO255" s="11"/>
      <c r="RHP255" s="11"/>
      <c r="RHQ255" s="11"/>
      <c r="RHR255" s="11"/>
      <c r="RHS255" s="11"/>
      <c r="RHT255" s="11"/>
      <c r="RHU255" s="11"/>
      <c r="RHV255" s="11"/>
      <c r="RHW255" s="11"/>
      <c r="RHX255" s="11"/>
      <c r="RHY255" s="11"/>
      <c r="RHZ255" s="11"/>
      <c r="RIA255" s="11"/>
      <c r="RIB255" s="11"/>
      <c r="RIC255" s="11"/>
      <c r="RID255" s="11"/>
      <c r="RIE255" s="11"/>
      <c r="RIF255" s="11"/>
      <c r="RIG255" s="11"/>
      <c r="RIH255" s="11"/>
      <c r="RII255" s="11"/>
      <c r="RIJ255" s="11"/>
      <c r="RIK255" s="11"/>
      <c r="RIL255" s="11"/>
      <c r="RIM255" s="11"/>
      <c r="RIN255" s="11"/>
      <c r="RIO255" s="11"/>
      <c r="RIP255" s="11"/>
      <c r="RIQ255" s="11"/>
      <c r="RIR255" s="11"/>
      <c r="RIS255" s="11"/>
      <c r="RIT255" s="11"/>
      <c r="RIU255" s="11"/>
      <c r="RIV255" s="11"/>
      <c r="RIW255" s="11"/>
      <c r="RIX255" s="11"/>
      <c r="RIY255" s="11"/>
      <c r="RIZ255" s="11"/>
      <c r="RJA255" s="11"/>
      <c r="RJB255" s="11"/>
      <c r="RJC255" s="11"/>
      <c r="RJD255" s="11"/>
      <c r="RJE255" s="11"/>
      <c r="RJF255" s="11"/>
      <c r="RJG255" s="11"/>
      <c r="RJH255" s="11"/>
      <c r="RJI255" s="11"/>
      <c r="RJJ255" s="11"/>
      <c r="RJK255" s="11"/>
      <c r="RJL255" s="11"/>
      <c r="RJM255" s="11"/>
      <c r="RJN255" s="11"/>
      <c r="RJO255" s="11"/>
      <c r="RJP255" s="11"/>
      <c r="RJQ255" s="11"/>
      <c r="RJR255" s="11"/>
      <c r="RJS255" s="11"/>
      <c r="RJT255" s="11"/>
      <c r="RJU255" s="11"/>
      <c r="RJV255" s="11"/>
      <c r="RJW255" s="11"/>
      <c r="RJX255" s="11"/>
      <c r="RJY255" s="11"/>
      <c r="RJZ255" s="11"/>
      <c r="RKA255" s="11"/>
      <c r="RKB255" s="11"/>
      <c r="RKC255" s="11"/>
      <c r="RKD255" s="11"/>
      <c r="RKE255" s="11"/>
      <c r="RKF255" s="11"/>
      <c r="RKG255" s="11"/>
      <c r="RKH255" s="11"/>
      <c r="RKI255" s="11"/>
      <c r="RKJ255" s="11"/>
      <c r="RKK255" s="11"/>
      <c r="RKL255" s="11"/>
      <c r="RKM255" s="11"/>
      <c r="RKN255" s="11"/>
      <c r="RKO255" s="11"/>
      <c r="RKP255" s="11"/>
      <c r="RKQ255" s="11"/>
      <c r="RKR255" s="11"/>
      <c r="RKS255" s="11"/>
      <c r="RKT255" s="11"/>
      <c r="RKU255" s="11"/>
      <c r="RKV255" s="11"/>
      <c r="RKW255" s="11"/>
      <c r="RKX255" s="11"/>
      <c r="RKY255" s="11"/>
      <c r="RKZ255" s="11"/>
      <c r="RLA255" s="11"/>
      <c r="RLB255" s="11"/>
      <c r="RLC255" s="11"/>
      <c r="RLD255" s="11"/>
      <c r="RLE255" s="11"/>
      <c r="RLF255" s="11"/>
      <c r="RLG255" s="11"/>
      <c r="RLH255" s="11"/>
      <c r="RLI255" s="11"/>
      <c r="RLJ255" s="11"/>
      <c r="RLK255" s="11"/>
      <c r="RLL255" s="11"/>
      <c r="RLM255" s="11"/>
      <c r="RLN255" s="11"/>
      <c r="RLO255" s="11"/>
      <c r="RLP255" s="11"/>
      <c r="RLQ255" s="11"/>
      <c r="RLR255" s="11"/>
      <c r="RLS255" s="11"/>
      <c r="RLT255" s="11"/>
      <c r="RLU255" s="11"/>
      <c r="RLV255" s="11"/>
      <c r="RLW255" s="11"/>
      <c r="RLX255" s="11"/>
      <c r="RLY255" s="11"/>
      <c r="RLZ255" s="11"/>
      <c r="RMA255" s="11"/>
      <c r="RMB255" s="11"/>
      <c r="RMC255" s="11"/>
      <c r="RMD255" s="11"/>
      <c r="RME255" s="11"/>
      <c r="RMF255" s="11"/>
      <c r="RMG255" s="11"/>
      <c r="RMH255" s="11"/>
      <c r="RMI255" s="11"/>
      <c r="RMJ255" s="11"/>
      <c r="RMK255" s="11"/>
      <c r="RML255" s="11"/>
      <c r="RMM255" s="11"/>
      <c r="RMN255" s="11"/>
      <c r="RMO255" s="11"/>
      <c r="RMP255" s="11"/>
      <c r="RMQ255" s="11"/>
      <c r="RMR255" s="11"/>
      <c r="RMS255" s="11"/>
      <c r="RMT255" s="11"/>
      <c r="RMU255" s="11"/>
      <c r="RMV255" s="11"/>
      <c r="RMW255" s="11"/>
      <c r="RMX255" s="11"/>
      <c r="RMY255" s="11"/>
      <c r="RMZ255" s="11"/>
      <c r="RNA255" s="11"/>
      <c r="RNB255" s="11"/>
      <c r="RNC255" s="11"/>
      <c r="RND255" s="11"/>
      <c r="RNE255" s="11"/>
      <c r="RNF255" s="11"/>
      <c r="RNG255" s="11"/>
      <c r="RNH255" s="11"/>
      <c r="RNI255" s="11"/>
      <c r="RNJ255" s="11"/>
      <c r="RNK255" s="11"/>
      <c r="RNL255" s="11"/>
      <c r="RNM255" s="11"/>
      <c r="RNN255" s="11"/>
      <c r="RNO255" s="11"/>
      <c r="RNP255" s="11"/>
      <c r="RNQ255" s="11"/>
      <c r="RNR255" s="11"/>
      <c r="RNS255" s="11"/>
      <c r="RNT255" s="11"/>
      <c r="RNU255" s="11"/>
      <c r="RNV255" s="11"/>
      <c r="RNW255" s="11"/>
      <c r="RNX255" s="11"/>
      <c r="RNY255" s="11"/>
      <c r="RNZ255" s="11"/>
      <c r="ROA255" s="11"/>
      <c r="ROB255" s="11"/>
      <c r="ROC255" s="11"/>
      <c r="ROD255" s="11"/>
      <c r="ROE255" s="11"/>
      <c r="ROF255" s="11"/>
      <c r="ROG255" s="11"/>
      <c r="ROH255" s="11"/>
      <c r="ROI255" s="11"/>
      <c r="ROJ255" s="11"/>
      <c r="ROK255" s="11"/>
      <c r="ROL255" s="11"/>
      <c r="ROM255" s="11"/>
      <c r="RON255" s="11"/>
      <c r="ROO255" s="11"/>
      <c r="ROP255" s="11"/>
      <c r="ROQ255" s="11"/>
      <c r="ROR255" s="11"/>
      <c r="ROS255" s="11"/>
      <c r="ROT255" s="11"/>
      <c r="ROU255" s="11"/>
      <c r="ROV255" s="11"/>
      <c r="ROW255" s="11"/>
      <c r="ROX255" s="11"/>
      <c r="ROY255" s="11"/>
      <c r="ROZ255" s="11"/>
      <c r="RPA255" s="11"/>
      <c r="RPB255" s="11"/>
      <c r="RPC255" s="11"/>
      <c r="RPD255" s="11"/>
      <c r="RPE255" s="11"/>
      <c r="RPF255" s="11"/>
      <c r="RPG255" s="11"/>
      <c r="RPH255" s="11"/>
      <c r="RPI255" s="11"/>
      <c r="RPJ255" s="11"/>
      <c r="RPK255" s="11"/>
      <c r="RPL255" s="11"/>
      <c r="RPM255" s="11"/>
      <c r="RPN255" s="11"/>
      <c r="RPO255" s="11"/>
      <c r="RPP255" s="11"/>
      <c r="RPQ255" s="11"/>
      <c r="RPR255" s="11"/>
      <c r="RPS255" s="11"/>
      <c r="RPT255" s="11"/>
      <c r="RPU255" s="11"/>
      <c r="RPV255" s="11"/>
      <c r="RPW255" s="11"/>
      <c r="RPX255" s="11"/>
      <c r="RPY255" s="11"/>
      <c r="RPZ255" s="11"/>
      <c r="RQA255" s="11"/>
      <c r="RQB255" s="11"/>
      <c r="RQC255" s="11"/>
      <c r="RQD255" s="11"/>
      <c r="RQE255" s="11"/>
      <c r="RQF255" s="11"/>
      <c r="RQG255" s="11"/>
      <c r="RQH255" s="11"/>
      <c r="RQI255" s="11"/>
      <c r="RQJ255" s="11"/>
      <c r="RQK255" s="11"/>
      <c r="RQL255" s="11"/>
      <c r="RQM255" s="11"/>
      <c r="RQN255" s="11"/>
      <c r="RQO255" s="11"/>
      <c r="RQP255" s="11"/>
      <c r="RQQ255" s="11"/>
      <c r="RQR255" s="11"/>
      <c r="RQS255" s="11"/>
      <c r="RQT255" s="11"/>
      <c r="RQU255" s="11"/>
      <c r="RQV255" s="11"/>
      <c r="RQW255" s="11"/>
      <c r="RQX255" s="11"/>
      <c r="RQY255" s="11"/>
      <c r="RQZ255" s="11"/>
      <c r="RRA255" s="11"/>
      <c r="RRB255" s="11"/>
      <c r="RRC255" s="11"/>
      <c r="RRD255" s="11"/>
      <c r="RRE255" s="11"/>
      <c r="RRF255" s="11"/>
      <c r="RRG255" s="11"/>
      <c r="RRH255" s="11"/>
      <c r="RRI255" s="11"/>
      <c r="RRJ255" s="11"/>
      <c r="RRK255" s="11"/>
      <c r="RRL255" s="11"/>
      <c r="RRM255" s="11"/>
      <c r="RRN255" s="11"/>
      <c r="RRO255" s="11"/>
      <c r="RRP255" s="11"/>
      <c r="RRQ255" s="11"/>
      <c r="RRR255" s="11"/>
      <c r="RRS255" s="11"/>
      <c r="RRT255" s="11"/>
      <c r="RRU255" s="11"/>
      <c r="RRV255" s="11"/>
      <c r="RRW255" s="11"/>
      <c r="RRX255" s="11"/>
      <c r="RRY255" s="11"/>
      <c r="RRZ255" s="11"/>
      <c r="RSA255" s="11"/>
      <c r="RSB255" s="11"/>
      <c r="RSC255" s="11"/>
      <c r="RSD255" s="11"/>
      <c r="RSE255" s="11"/>
      <c r="RSF255" s="11"/>
      <c r="RSG255" s="11"/>
      <c r="RSH255" s="11"/>
      <c r="RSI255" s="11"/>
      <c r="RSJ255" s="11"/>
      <c r="RSK255" s="11"/>
      <c r="RSL255" s="11"/>
      <c r="RSM255" s="11"/>
      <c r="RSN255" s="11"/>
      <c r="RSO255" s="11"/>
      <c r="RSP255" s="11"/>
      <c r="RSQ255" s="11"/>
      <c r="RSR255" s="11"/>
      <c r="RSS255" s="11"/>
      <c r="RST255" s="11"/>
      <c r="RSU255" s="11"/>
      <c r="RSV255" s="11"/>
      <c r="RSW255" s="11"/>
      <c r="RSX255" s="11"/>
      <c r="RSY255" s="11"/>
      <c r="RSZ255" s="11"/>
      <c r="RTA255" s="11"/>
      <c r="RTB255" s="11"/>
      <c r="RTC255" s="11"/>
      <c r="RTD255" s="11"/>
      <c r="RTE255" s="11"/>
      <c r="RTF255" s="11"/>
      <c r="RTG255" s="11"/>
      <c r="RTH255" s="11"/>
      <c r="RTI255" s="11"/>
      <c r="RTJ255" s="11"/>
      <c r="RTK255" s="11"/>
      <c r="RTL255" s="11"/>
      <c r="RTM255" s="11"/>
      <c r="RTN255" s="11"/>
      <c r="RTO255" s="11"/>
      <c r="RTP255" s="11"/>
      <c r="RTQ255" s="11"/>
      <c r="RTR255" s="11"/>
      <c r="RTS255" s="11"/>
      <c r="RTT255" s="11"/>
      <c r="RTU255" s="11"/>
      <c r="RTV255" s="11"/>
      <c r="RTW255" s="11"/>
      <c r="RTX255" s="11"/>
      <c r="RTY255" s="11"/>
      <c r="RTZ255" s="11"/>
      <c r="RUA255" s="11"/>
      <c r="RUB255" s="11"/>
      <c r="RUC255" s="11"/>
      <c r="RUD255" s="11"/>
      <c r="RUE255" s="11"/>
      <c r="RUF255" s="11"/>
      <c r="RUG255" s="11"/>
      <c r="RUH255" s="11"/>
      <c r="RUI255" s="11"/>
      <c r="RUJ255" s="11"/>
      <c r="RUK255" s="11"/>
      <c r="RUL255" s="11"/>
      <c r="RUM255" s="11"/>
      <c r="RUN255" s="11"/>
      <c r="RUO255" s="11"/>
      <c r="RUP255" s="11"/>
      <c r="RUQ255" s="11"/>
      <c r="RUR255" s="11"/>
      <c r="RUS255" s="11"/>
      <c r="RUT255" s="11"/>
      <c r="RUU255" s="11"/>
      <c r="RUV255" s="11"/>
      <c r="RUW255" s="11"/>
      <c r="RUX255" s="11"/>
      <c r="RUY255" s="11"/>
      <c r="RUZ255" s="11"/>
      <c r="RVA255" s="11"/>
      <c r="RVB255" s="11"/>
      <c r="RVC255" s="11"/>
      <c r="RVD255" s="11"/>
      <c r="RVE255" s="11"/>
      <c r="RVF255" s="11"/>
      <c r="RVG255" s="11"/>
      <c r="RVH255" s="11"/>
      <c r="RVI255" s="11"/>
      <c r="RVJ255" s="11"/>
      <c r="RVK255" s="11"/>
      <c r="RVL255" s="11"/>
      <c r="RVM255" s="11"/>
      <c r="RVN255" s="11"/>
      <c r="RVO255" s="11"/>
      <c r="RVP255" s="11"/>
      <c r="RVQ255" s="11"/>
      <c r="RVR255" s="11"/>
      <c r="RVS255" s="11"/>
      <c r="RVT255" s="11"/>
      <c r="RVU255" s="11"/>
      <c r="RVV255" s="11"/>
      <c r="RVW255" s="11"/>
      <c r="RVX255" s="11"/>
      <c r="RVY255" s="11"/>
      <c r="RVZ255" s="11"/>
      <c r="RWA255" s="11"/>
      <c r="RWB255" s="11"/>
      <c r="RWC255" s="11"/>
      <c r="RWD255" s="11"/>
      <c r="RWE255" s="11"/>
      <c r="RWF255" s="11"/>
      <c r="RWG255" s="11"/>
      <c r="RWH255" s="11"/>
      <c r="RWI255" s="11"/>
      <c r="RWJ255" s="11"/>
      <c r="RWK255" s="11"/>
      <c r="RWL255" s="11"/>
      <c r="RWM255" s="11"/>
      <c r="RWN255" s="11"/>
      <c r="RWO255" s="11"/>
      <c r="RWP255" s="11"/>
      <c r="RWQ255" s="11"/>
      <c r="RWR255" s="11"/>
      <c r="RWS255" s="11"/>
      <c r="RWT255" s="11"/>
      <c r="RWU255" s="11"/>
      <c r="RWV255" s="11"/>
      <c r="RWW255" s="11"/>
      <c r="RWX255" s="11"/>
      <c r="RWY255" s="11"/>
      <c r="RWZ255" s="11"/>
      <c r="RXA255" s="11"/>
      <c r="RXB255" s="11"/>
      <c r="RXC255" s="11"/>
      <c r="RXD255" s="11"/>
      <c r="RXE255" s="11"/>
      <c r="RXF255" s="11"/>
      <c r="RXG255" s="11"/>
      <c r="RXH255" s="11"/>
      <c r="RXI255" s="11"/>
      <c r="RXJ255" s="11"/>
      <c r="RXK255" s="11"/>
      <c r="RXL255" s="11"/>
      <c r="RXM255" s="11"/>
      <c r="RXN255" s="11"/>
      <c r="RXO255" s="11"/>
      <c r="RXP255" s="11"/>
      <c r="RXQ255" s="11"/>
      <c r="RXR255" s="11"/>
      <c r="RXS255" s="11"/>
      <c r="RXT255" s="11"/>
      <c r="RXU255" s="11"/>
      <c r="RXV255" s="11"/>
      <c r="RXW255" s="11"/>
      <c r="RXX255" s="11"/>
      <c r="RXY255" s="11"/>
      <c r="RXZ255" s="11"/>
      <c r="RYA255" s="11"/>
      <c r="RYB255" s="11"/>
      <c r="RYC255" s="11"/>
      <c r="RYD255" s="11"/>
      <c r="RYE255" s="11"/>
      <c r="RYF255" s="11"/>
      <c r="RYG255" s="11"/>
      <c r="RYH255" s="11"/>
      <c r="RYI255" s="11"/>
      <c r="RYJ255" s="11"/>
      <c r="RYK255" s="11"/>
      <c r="RYL255" s="11"/>
      <c r="RYM255" s="11"/>
      <c r="RYN255" s="11"/>
      <c r="RYO255" s="11"/>
      <c r="RYP255" s="11"/>
      <c r="RYQ255" s="11"/>
      <c r="RYR255" s="11"/>
      <c r="RYS255" s="11"/>
      <c r="RYT255" s="11"/>
      <c r="RYU255" s="11"/>
      <c r="RYV255" s="11"/>
      <c r="RYW255" s="11"/>
      <c r="RYX255" s="11"/>
      <c r="RYY255" s="11"/>
      <c r="RYZ255" s="11"/>
      <c r="RZA255" s="11"/>
      <c r="RZB255" s="11"/>
      <c r="RZC255" s="11"/>
      <c r="RZD255" s="11"/>
      <c r="RZE255" s="11"/>
      <c r="RZF255" s="11"/>
      <c r="RZG255" s="11"/>
      <c r="RZH255" s="11"/>
      <c r="RZI255" s="11"/>
      <c r="RZJ255" s="11"/>
      <c r="RZK255" s="11"/>
      <c r="RZL255" s="11"/>
      <c r="RZM255" s="11"/>
      <c r="RZN255" s="11"/>
      <c r="RZO255" s="11"/>
      <c r="RZP255" s="11"/>
      <c r="RZQ255" s="11"/>
      <c r="RZR255" s="11"/>
      <c r="RZS255" s="11"/>
      <c r="RZT255" s="11"/>
      <c r="RZU255" s="11"/>
      <c r="RZV255" s="11"/>
      <c r="RZW255" s="11"/>
      <c r="RZX255" s="11"/>
      <c r="RZY255" s="11"/>
      <c r="RZZ255" s="11"/>
      <c r="SAA255" s="11"/>
      <c r="SAB255" s="11"/>
      <c r="SAC255" s="11"/>
      <c r="SAD255" s="11"/>
      <c r="SAE255" s="11"/>
      <c r="SAF255" s="11"/>
      <c r="SAG255" s="11"/>
      <c r="SAH255" s="11"/>
      <c r="SAI255" s="11"/>
      <c r="SAJ255" s="11"/>
      <c r="SAK255" s="11"/>
      <c r="SAL255" s="11"/>
      <c r="SAM255" s="11"/>
      <c r="SAN255" s="11"/>
      <c r="SAO255" s="11"/>
      <c r="SAP255" s="11"/>
      <c r="SAQ255" s="11"/>
      <c r="SAR255" s="11"/>
      <c r="SAS255" s="11"/>
      <c r="SAT255" s="11"/>
      <c r="SAU255" s="11"/>
      <c r="SAV255" s="11"/>
      <c r="SAW255" s="11"/>
      <c r="SAX255" s="11"/>
      <c r="SAY255" s="11"/>
      <c r="SAZ255" s="11"/>
      <c r="SBA255" s="11"/>
      <c r="SBB255" s="11"/>
      <c r="SBC255" s="11"/>
      <c r="SBD255" s="11"/>
      <c r="SBE255" s="11"/>
      <c r="SBF255" s="11"/>
      <c r="SBG255" s="11"/>
      <c r="SBH255" s="11"/>
      <c r="SBI255" s="11"/>
      <c r="SBJ255" s="11"/>
      <c r="SBK255" s="11"/>
      <c r="SBL255" s="11"/>
      <c r="SBM255" s="11"/>
      <c r="SBN255" s="11"/>
      <c r="SBO255" s="11"/>
      <c r="SBP255" s="11"/>
      <c r="SBQ255" s="11"/>
      <c r="SBR255" s="11"/>
      <c r="SBS255" s="11"/>
      <c r="SBT255" s="11"/>
      <c r="SBU255" s="11"/>
      <c r="SBV255" s="11"/>
      <c r="SBW255" s="11"/>
      <c r="SBX255" s="11"/>
      <c r="SBY255" s="11"/>
      <c r="SBZ255" s="11"/>
      <c r="SCA255" s="11"/>
      <c r="SCB255" s="11"/>
      <c r="SCC255" s="11"/>
      <c r="SCD255" s="11"/>
      <c r="SCE255" s="11"/>
      <c r="SCF255" s="11"/>
      <c r="SCG255" s="11"/>
      <c r="SCH255" s="11"/>
      <c r="SCI255" s="11"/>
      <c r="SCJ255" s="11"/>
      <c r="SCK255" s="11"/>
      <c r="SCL255" s="11"/>
      <c r="SCM255" s="11"/>
      <c r="SCN255" s="11"/>
      <c r="SCO255" s="11"/>
      <c r="SCP255" s="11"/>
      <c r="SCQ255" s="11"/>
      <c r="SCR255" s="11"/>
      <c r="SCS255" s="11"/>
      <c r="SCT255" s="11"/>
      <c r="SCU255" s="11"/>
      <c r="SCV255" s="11"/>
      <c r="SCW255" s="11"/>
      <c r="SCX255" s="11"/>
      <c r="SCY255" s="11"/>
      <c r="SCZ255" s="11"/>
      <c r="SDA255" s="11"/>
      <c r="SDB255" s="11"/>
      <c r="SDC255" s="11"/>
      <c r="SDD255" s="11"/>
      <c r="SDE255" s="11"/>
      <c r="SDF255" s="11"/>
      <c r="SDG255" s="11"/>
      <c r="SDH255" s="11"/>
      <c r="SDI255" s="11"/>
      <c r="SDJ255" s="11"/>
      <c r="SDK255" s="11"/>
      <c r="SDL255" s="11"/>
      <c r="SDM255" s="11"/>
      <c r="SDN255" s="11"/>
      <c r="SDO255" s="11"/>
      <c r="SDP255" s="11"/>
      <c r="SDQ255" s="11"/>
      <c r="SDR255" s="11"/>
      <c r="SDS255" s="11"/>
      <c r="SDT255" s="11"/>
      <c r="SDU255" s="11"/>
      <c r="SDV255" s="11"/>
      <c r="SDW255" s="11"/>
      <c r="SDX255" s="11"/>
      <c r="SDY255" s="11"/>
      <c r="SDZ255" s="11"/>
      <c r="SEA255" s="11"/>
      <c r="SEB255" s="11"/>
      <c r="SEC255" s="11"/>
      <c r="SED255" s="11"/>
      <c r="SEE255" s="11"/>
      <c r="SEF255" s="11"/>
      <c r="SEG255" s="11"/>
      <c r="SEH255" s="11"/>
      <c r="SEI255" s="11"/>
      <c r="SEJ255" s="11"/>
      <c r="SEK255" s="11"/>
      <c r="SEL255" s="11"/>
      <c r="SEM255" s="11"/>
      <c r="SEN255" s="11"/>
      <c r="SEO255" s="11"/>
      <c r="SEP255" s="11"/>
      <c r="SEQ255" s="11"/>
      <c r="SER255" s="11"/>
      <c r="SES255" s="11"/>
      <c r="SET255" s="11"/>
      <c r="SEU255" s="11"/>
      <c r="SEV255" s="11"/>
      <c r="SEW255" s="11"/>
      <c r="SEX255" s="11"/>
      <c r="SEY255" s="11"/>
      <c r="SEZ255" s="11"/>
      <c r="SFA255" s="11"/>
      <c r="SFB255" s="11"/>
      <c r="SFC255" s="11"/>
      <c r="SFD255" s="11"/>
      <c r="SFE255" s="11"/>
      <c r="SFF255" s="11"/>
      <c r="SFG255" s="11"/>
      <c r="SFH255" s="11"/>
      <c r="SFI255" s="11"/>
      <c r="SFJ255" s="11"/>
      <c r="SFK255" s="11"/>
      <c r="SFL255" s="11"/>
      <c r="SFM255" s="11"/>
      <c r="SFN255" s="11"/>
      <c r="SFO255" s="11"/>
      <c r="SFP255" s="11"/>
      <c r="SFQ255" s="11"/>
      <c r="SFR255" s="11"/>
      <c r="SFS255" s="11"/>
      <c r="SFT255" s="11"/>
      <c r="SFU255" s="11"/>
      <c r="SFV255" s="11"/>
      <c r="SFW255" s="11"/>
      <c r="SFX255" s="11"/>
      <c r="SFY255" s="11"/>
      <c r="SFZ255" s="11"/>
      <c r="SGA255" s="11"/>
      <c r="SGB255" s="11"/>
      <c r="SGC255" s="11"/>
      <c r="SGD255" s="11"/>
      <c r="SGE255" s="11"/>
      <c r="SGF255" s="11"/>
      <c r="SGG255" s="11"/>
      <c r="SGH255" s="11"/>
      <c r="SGI255" s="11"/>
      <c r="SGJ255" s="11"/>
      <c r="SGK255" s="11"/>
      <c r="SGL255" s="11"/>
      <c r="SGM255" s="11"/>
      <c r="SGN255" s="11"/>
      <c r="SGO255" s="11"/>
      <c r="SGP255" s="11"/>
      <c r="SGQ255" s="11"/>
      <c r="SGR255" s="11"/>
      <c r="SGS255" s="11"/>
      <c r="SGT255" s="11"/>
      <c r="SGU255" s="11"/>
      <c r="SGV255" s="11"/>
      <c r="SGW255" s="11"/>
      <c r="SGX255" s="11"/>
      <c r="SGY255" s="11"/>
      <c r="SGZ255" s="11"/>
      <c r="SHA255" s="11"/>
      <c r="SHB255" s="11"/>
      <c r="SHC255" s="11"/>
      <c r="SHD255" s="11"/>
      <c r="SHE255" s="11"/>
      <c r="SHF255" s="11"/>
      <c r="SHG255" s="11"/>
      <c r="SHH255" s="11"/>
      <c r="SHI255" s="11"/>
      <c r="SHJ255" s="11"/>
      <c r="SHK255" s="11"/>
      <c r="SHL255" s="11"/>
      <c r="SHM255" s="11"/>
      <c r="SHN255" s="11"/>
      <c r="SHO255" s="11"/>
      <c r="SHP255" s="11"/>
      <c r="SHQ255" s="11"/>
      <c r="SHR255" s="11"/>
      <c r="SHS255" s="11"/>
      <c r="SHT255" s="11"/>
      <c r="SHU255" s="11"/>
      <c r="SHV255" s="11"/>
      <c r="SHW255" s="11"/>
      <c r="SHX255" s="11"/>
      <c r="SHY255" s="11"/>
      <c r="SHZ255" s="11"/>
      <c r="SIA255" s="11"/>
      <c r="SIB255" s="11"/>
      <c r="SIC255" s="11"/>
      <c r="SID255" s="11"/>
      <c r="SIE255" s="11"/>
      <c r="SIF255" s="11"/>
      <c r="SIG255" s="11"/>
      <c r="SIH255" s="11"/>
      <c r="SII255" s="11"/>
      <c r="SIJ255" s="11"/>
      <c r="SIK255" s="11"/>
      <c r="SIL255" s="11"/>
      <c r="SIM255" s="11"/>
      <c r="SIN255" s="11"/>
      <c r="SIO255" s="11"/>
      <c r="SIP255" s="11"/>
      <c r="SIQ255" s="11"/>
      <c r="SIR255" s="11"/>
      <c r="SIS255" s="11"/>
      <c r="SIT255" s="11"/>
      <c r="SIU255" s="11"/>
      <c r="SIV255" s="11"/>
      <c r="SIW255" s="11"/>
      <c r="SIX255" s="11"/>
      <c r="SIY255" s="11"/>
      <c r="SIZ255" s="11"/>
      <c r="SJA255" s="11"/>
      <c r="SJB255" s="11"/>
      <c r="SJC255" s="11"/>
      <c r="SJD255" s="11"/>
      <c r="SJE255" s="11"/>
      <c r="SJF255" s="11"/>
      <c r="SJG255" s="11"/>
      <c r="SJH255" s="11"/>
      <c r="SJI255" s="11"/>
      <c r="SJJ255" s="11"/>
      <c r="SJK255" s="11"/>
      <c r="SJL255" s="11"/>
      <c r="SJM255" s="11"/>
      <c r="SJN255" s="11"/>
      <c r="SJO255" s="11"/>
      <c r="SJP255" s="11"/>
      <c r="SJQ255" s="11"/>
      <c r="SJR255" s="11"/>
      <c r="SJS255" s="11"/>
      <c r="SJT255" s="11"/>
      <c r="SJU255" s="11"/>
      <c r="SJV255" s="11"/>
      <c r="SJW255" s="11"/>
      <c r="SJX255" s="11"/>
      <c r="SJY255" s="11"/>
      <c r="SJZ255" s="11"/>
      <c r="SKA255" s="11"/>
      <c r="SKB255" s="11"/>
      <c r="SKC255" s="11"/>
      <c r="SKD255" s="11"/>
      <c r="SKE255" s="11"/>
      <c r="SKF255" s="11"/>
      <c r="SKG255" s="11"/>
      <c r="SKH255" s="11"/>
      <c r="SKI255" s="11"/>
      <c r="SKJ255" s="11"/>
      <c r="SKK255" s="11"/>
      <c r="SKL255" s="11"/>
      <c r="SKM255" s="11"/>
      <c r="SKN255" s="11"/>
      <c r="SKO255" s="11"/>
      <c r="SKP255" s="11"/>
      <c r="SKQ255" s="11"/>
      <c r="SKR255" s="11"/>
      <c r="SKS255" s="11"/>
      <c r="SKT255" s="11"/>
      <c r="SKU255" s="11"/>
      <c r="SKV255" s="11"/>
      <c r="SKW255" s="11"/>
      <c r="SKX255" s="11"/>
      <c r="SKY255" s="11"/>
      <c r="SKZ255" s="11"/>
      <c r="SLA255" s="11"/>
      <c r="SLB255" s="11"/>
      <c r="SLC255" s="11"/>
      <c r="SLD255" s="11"/>
      <c r="SLE255" s="11"/>
      <c r="SLF255" s="11"/>
      <c r="SLG255" s="11"/>
      <c r="SLH255" s="11"/>
      <c r="SLI255" s="11"/>
      <c r="SLJ255" s="11"/>
      <c r="SLK255" s="11"/>
      <c r="SLL255" s="11"/>
      <c r="SLM255" s="11"/>
      <c r="SLN255" s="11"/>
      <c r="SLO255" s="11"/>
      <c r="SLP255" s="11"/>
      <c r="SLQ255" s="11"/>
      <c r="SLR255" s="11"/>
      <c r="SLS255" s="11"/>
      <c r="SLT255" s="11"/>
      <c r="SLU255" s="11"/>
      <c r="SLV255" s="11"/>
      <c r="SLW255" s="11"/>
      <c r="SLX255" s="11"/>
      <c r="SLY255" s="11"/>
      <c r="SLZ255" s="11"/>
      <c r="SMA255" s="11"/>
      <c r="SMB255" s="11"/>
      <c r="SMC255" s="11"/>
      <c r="SMD255" s="11"/>
      <c r="SME255" s="11"/>
      <c r="SMF255" s="11"/>
      <c r="SMG255" s="11"/>
      <c r="SMH255" s="11"/>
      <c r="SMI255" s="11"/>
      <c r="SMJ255" s="11"/>
      <c r="SMK255" s="11"/>
      <c r="SML255" s="11"/>
      <c r="SMM255" s="11"/>
      <c r="SMN255" s="11"/>
      <c r="SMO255" s="11"/>
      <c r="SMP255" s="11"/>
      <c r="SMQ255" s="11"/>
      <c r="SMR255" s="11"/>
      <c r="SMS255" s="11"/>
      <c r="SMT255" s="11"/>
      <c r="SMU255" s="11"/>
      <c r="SMV255" s="11"/>
      <c r="SMW255" s="11"/>
      <c r="SMX255" s="11"/>
      <c r="SMY255" s="11"/>
      <c r="SMZ255" s="11"/>
      <c r="SNA255" s="11"/>
      <c r="SNB255" s="11"/>
      <c r="SNC255" s="11"/>
      <c r="SND255" s="11"/>
      <c r="SNE255" s="11"/>
      <c r="SNF255" s="11"/>
      <c r="SNG255" s="11"/>
      <c r="SNH255" s="11"/>
      <c r="SNI255" s="11"/>
      <c r="SNJ255" s="11"/>
      <c r="SNK255" s="11"/>
      <c r="SNL255" s="11"/>
      <c r="SNM255" s="11"/>
      <c r="SNN255" s="11"/>
      <c r="SNO255" s="11"/>
      <c r="SNP255" s="11"/>
      <c r="SNQ255" s="11"/>
      <c r="SNR255" s="11"/>
      <c r="SNS255" s="11"/>
      <c r="SNT255" s="11"/>
      <c r="SNU255" s="11"/>
      <c r="SNV255" s="11"/>
      <c r="SNW255" s="11"/>
      <c r="SNX255" s="11"/>
      <c r="SNY255" s="11"/>
      <c r="SNZ255" s="11"/>
      <c r="SOA255" s="11"/>
      <c r="SOB255" s="11"/>
      <c r="SOC255" s="11"/>
      <c r="SOD255" s="11"/>
      <c r="SOE255" s="11"/>
      <c r="SOF255" s="11"/>
      <c r="SOG255" s="11"/>
      <c r="SOH255" s="11"/>
      <c r="SOI255" s="11"/>
      <c r="SOJ255" s="11"/>
      <c r="SOK255" s="11"/>
      <c r="SOL255" s="11"/>
      <c r="SOM255" s="11"/>
      <c r="SON255" s="11"/>
      <c r="SOO255" s="11"/>
      <c r="SOP255" s="11"/>
      <c r="SOQ255" s="11"/>
      <c r="SOR255" s="11"/>
      <c r="SOS255" s="11"/>
      <c r="SOT255" s="11"/>
      <c r="SOU255" s="11"/>
      <c r="SOV255" s="11"/>
      <c r="SOW255" s="11"/>
      <c r="SOX255" s="11"/>
      <c r="SOY255" s="11"/>
      <c r="SOZ255" s="11"/>
      <c r="SPA255" s="11"/>
      <c r="SPB255" s="11"/>
      <c r="SPC255" s="11"/>
      <c r="SPD255" s="11"/>
      <c r="SPE255" s="11"/>
      <c r="SPF255" s="11"/>
      <c r="SPG255" s="11"/>
      <c r="SPH255" s="11"/>
      <c r="SPI255" s="11"/>
      <c r="SPJ255" s="11"/>
      <c r="SPK255" s="11"/>
      <c r="SPL255" s="11"/>
      <c r="SPM255" s="11"/>
      <c r="SPN255" s="11"/>
      <c r="SPO255" s="11"/>
      <c r="SPP255" s="11"/>
      <c r="SPQ255" s="11"/>
      <c r="SPR255" s="11"/>
      <c r="SPS255" s="11"/>
      <c r="SPT255" s="11"/>
      <c r="SPU255" s="11"/>
      <c r="SPV255" s="11"/>
      <c r="SPW255" s="11"/>
      <c r="SPX255" s="11"/>
      <c r="SPY255" s="11"/>
      <c r="SPZ255" s="11"/>
      <c r="SQA255" s="11"/>
      <c r="SQB255" s="11"/>
      <c r="SQC255" s="11"/>
      <c r="SQD255" s="11"/>
      <c r="SQE255" s="11"/>
      <c r="SQF255" s="11"/>
      <c r="SQG255" s="11"/>
      <c r="SQH255" s="11"/>
      <c r="SQI255" s="11"/>
      <c r="SQJ255" s="11"/>
      <c r="SQK255" s="11"/>
      <c r="SQL255" s="11"/>
      <c r="SQM255" s="11"/>
      <c r="SQN255" s="11"/>
      <c r="SQO255" s="11"/>
      <c r="SQP255" s="11"/>
      <c r="SQQ255" s="11"/>
      <c r="SQR255" s="11"/>
      <c r="SQS255" s="11"/>
      <c r="SQT255" s="11"/>
      <c r="SQU255" s="11"/>
      <c r="SQV255" s="11"/>
      <c r="SQW255" s="11"/>
      <c r="SQX255" s="11"/>
      <c r="SQY255" s="11"/>
      <c r="SQZ255" s="11"/>
      <c r="SRA255" s="11"/>
      <c r="SRB255" s="11"/>
      <c r="SRC255" s="11"/>
      <c r="SRD255" s="11"/>
      <c r="SRE255" s="11"/>
      <c r="SRF255" s="11"/>
      <c r="SRG255" s="11"/>
      <c r="SRH255" s="11"/>
      <c r="SRI255" s="11"/>
      <c r="SRJ255" s="11"/>
      <c r="SRK255" s="11"/>
      <c r="SRL255" s="11"/>
      <c r="SRM255" s="11"/>
      <c r="SRN255" s="11"/>
      <c r="SRO255" s="11"/>
      <c r="SRP255" s="11"/>
      <c r="SRQ255" s="11"/>
      <c r="SRR255" s="11"/>
      <c r="SRS255" s="11"/>
      <c r="SRT255" s="11"/>
      <c r="SRU255" s="11"/>
      <c r="SRV255" s="11"/>
      <c r="SRW255" s="11"/>
      <c r="SRX255" s="11"/>
      <c r="SRY255" s="11"/>
      <c r="SRZ255" s="11"/>
      <c r="SSA255" s="11"/>
      <c r="SSB255" s="11"/>
      <c r="SSC255" s="11"/>
      <c r="SSD255" s="11"/>
      <c r="SSE255" s="11"/>
      <c r="SSF255" s="11"/>
      <c r="SSG255" s="11"/>
      <c r="SSH255" s="11"/>
      <c r="SSI255" s="11"/>
      <c r="SSJ255" s="11"/>
      <c r="SSK255" s="11"/>
      <c r="SSL255" s="11"/>
      <c r="SSM255" s="11"/>
      <c r="SSN255" s="11"/>
      <c r="SSO255" s="11"/>
      <c r="SSP255" s="11"/>
      <c r="SSQ255" s="11"/>
      <c r="SSR255" s="11"/>
      <c r="SSS255" s="11"/>
      <c r="SST255" s="11"/>
      <c r="SSU255" s="11"/>
      <c r="SSV255" s="11"/>
      <c r="SSW255" s="11"/>
      <c r="SSX255" s="11"/>
      <c r="SSY255" s="11"/>
      <c r="SSZ255" s="11"/>
      <c r="STA255" s="11"/>
      <c r="STB255" s="11"/>
      <c r="STC255" s="11"/>
      <c r="STD255" s="11"/>
      <c r="STE255" s="11"/>
      <c r="STF255" s="11"/>
      <c r="STG255" s="11"/>
      <c r="STH255" s="11"/>
      <c r="STI255" s="11"/>
      <c r="STJ255" s="11"/>
      <c r="STK255" s="11"/>
      <c r="STL255" s="11"/>
      <c r="STM255" s="11"/>
      <c r="STN255" s="11"/>
      <c r="STO255" s="11"/>
      <c r="STP255" s="11"/>
      <c r="STQ255" s="11"/>
      <c r="STR255" s="11"/>
      <c r="STS255" s="11"/>
      <c r="STT255" s="11"/>
      <c r="STU255" s="11"/>
      <c r="STV255" s="11"/>
      <c r="STW255" s="11"/>
      <c r="STX255" s="11"/>
      <c r="STY255" s="11"/>
      <c r="STZ255" s="11"/>
      <c r="SUA255" s="11"/>
      <c r="SUB255" s="11"/>
      <c r="SUC255" s="11"/>
      <c r="SUD255" s="11"/>
      <c r="SUE255" s="11"/>
      <c r="SUF255" s="11"/>
      <c r="SUG255" s="11"/>
      <c r="SUH255" s="11"/>
      <c r="SUI255" s="11"/>
      <c r="SUJ255" s="11"/>
      <c r="SUK255" s="11"/>
      <c r="SUL255" s="11"/>
      <c r="SUM255" s="11"/>
      <c r="SUN255" s="11"/>
      <c r="SUO255" s="11"/>
      <c r="SUP255" s="11"/>
      <c r="SUQ255" s="11"/>
      <c r="SUR255" s="11"/>
      <c r="SUS255" s="11"/>
      <c r="SUT255" s="11"/>
      <c r="SUU255" s="11"/>
      <c r="SUV255" s="11"/>
      <c r="SUW255" s="11"/>
      <c r="SUX255" s="11"/>
      <c r="SUY255" s="11"/>
      <c r="SUZ255" s="11"/>
      <c r="SVA255" s="11"/>
      <c r="SVB255" s="11"/>
      <c r="SVC255" s="11"/>
      <c r="SVD255" s="11"/>
      <c r="SVE255" s="11"/>
      <c r="SVF255" s="11"/>
      <c r="SVG255" s="11"/>
      <c r="SVH255" s="11"/>
      <c r="SVI255" s="11"/>
      <c r="SVJ255" s="11"/>
      <c r="SVK255" s="11"/>
      <c r="SVL255" s="11"/>
      <c r="SVM255" s="11"/>
      <c r="SVN255" s="11"/>
      <c r="SVO255" s="11"/>
      <c r="SVP255" s="11"/>
      <c r="SVQ255" s="11"/>
      <c r="SVR255" s="11"/>
      <c r="SVS255" s="11"/>
      <c r="SVT255" s="11"/>
      <c r="SVU255" s="11"/>
      <c r="SVV255" s="11"/>
      <c r="SVW255" s="11"/>
      <c r="SVX255" s="11"/>
      <c r="SVY255" s="11"/>
      <c r="SVZ255" s="11"/>
      <c r="SWA255" s="11"/>
      <c r="SWB255" s="11"/>
      <c r="SWC255" s="11"/>
      <c r="SWD255" s="11"/>
      <c r="SWE255" s="11"/>
      <c r="SWF255" s="11"/>
      <c r="SWG255" s="11"/>
      <c r="SWH255" s="11"/>
      <c r="SWI255" s="11"/>
      <c r="SWJ255" s="11"/>
      <c r="SWK255" s="11"/>
      <c r="SWL255" s="11"/>
      <c r="SWM255" s="11"/>
      <c r="SWN255" s="11"/>
      <c r="SWO255" s="11"/>
      <c r="SWP255" s="11"/>
      <c r="SWQ255" s="11"/>
      <c r="SWR255" s="11"/>
      <c r="SWS255" s="11"/>
      <c r="SWT255" s="11"/>
      <c r="SWU255" s="11"/>
      <c r="SWV255" s="11"/>
      <c r="SWW255" s="11"/>
      <c r="SWX255" s="11"/>
      <c r="SWY255" s="11"/>
      <c r="SWZ255" s="11"/>
      <c r="SXA255" s="11"/>
      <c r="SXB255" s="11"/>
      <c r="SXC255" s="11"/>
      <c r="SXD255" s="11"/>
      <c r="SXE255" s="11"/>
      <c r="SXF255" s="11"/>
      <c r="SXG255" s="11"/>
      <c r="SXH255" s="11"/>
      <c r="SXI255" s="11"/>
      <c r="SXJ255" s="11"/>
      <c r="SXK255" s="11"/>
      <c r="SXL255" s="11"/>
      <c r="SXM255" s="11"/>
      <c r="SXN255" s="11"/>
      <c r="SXO255" s="11"/>
      <c r="SXP255" s="11"/>
      <c r="SXQ255" s="11"/>
      <c r="SXR255" s="11"/>
      <c r="SXS255" s="11"/>
      <c r="SXT255" s="11"/>
      <c r="SXU255" s="11"/>
      <c r="SXV255" s="11"/>
      <c r="SXW255" s="11"/>
      <c r="SXX255" s="11"/>
      <c r="SXY255" s="11"/>
      <c r="SXZ255" s="11"/>
      <c r="SYA255" s="11"/>
      <c r="SYB255" s="11"/>
      <c r="SYC255" s="11"/>
      <c r="SYD255" s="11"/>
      <c r="SYE255" s="11"/>
      <c r="SYF255" s="11"/>
      <c r="SYG255" s="11"/>
      <c r="SYH255" s="11"/>
      <c r="SYI255" s="11"/>
      <c r="SYJ255" s="11"/>
      <c r="SYK255" s="11"/>
      <c r="SYL255" s="11"/>
      <c r="SYM255" s="11"/>
      <c r="SYN255" s="11"/>
      <c r="SYO255" s="11"/>
      <c r="SYP255" s="11"/>
      <c r="SYQ255" s="11"/>
      <c r="SYR255" s="11"/>
      <c r="SYS255" s="11"/>
      <c r="SYT255" s="11"/>
      <c r="SYU255" s="11"/>
      <c r="SYV255" s="11"/>
      <c r="SYW255" s="11"/>
      <c r="SYX255" s="11"/>
      <c r="SYY255" s="11"/>
      <c r="SYZ255" s="11"/>
      <c r="SZA255" s="11"/>
      <c r="SZB255" s="11"/>
      <c r="SZC255" s="11"/>
      <c r="SZD255" s="11"/>
      <c r="SZE255" s="11"/>
      <c r="SZF255" s="11"/>
      <c r="SZG255" s="11"/>
      <c r="SZH255" s="11"/>
      <c r="SZI255" s="11"/>
      <c r="SZJ255" s="11"/>
      <c r="SZK255" s="11"/>
      <c r="SZL255" s="11"/>
      <c r="SZM255" s="11"/>
      <c r="SZN255" s="11"/>
      <c r="SZO255" s="11"/>
      <c r="SZP255" s="11"/>
      <c r="SZQ255" s="11"/>
      <c r="SZR255" s="11"/>
      <c r="SZS255" s="11"/>
      <c r="SZT255" s="11"/>
      <c r="SZU255" s="11"/>
      <c r="SZV255" s="11"/>
      <c r="SZW255" s="11"/>
      <c r="SZX255" s="11"/>
      <c r="SZY255" s="11"/>
      <c r="SZZ255" s="11"/>
      <c r="TAA255" s="11"/>
      <c r="TAB255" s="11"/>
      <c r="TAC255" s="11"/>
      <c r="TAD255" s="11"/>
      <c r="TAE255" s="11"/>
      <c r="TAF255" s="11"/>
      <c r="TAG255" s="11"/>
      <c r="TAH255" s="11"/>
      <c r="TAI255" s="11"/>
      <c r="TAJ255" s="11"/>
      <c r="TAK255" s="11"/>
      <c r="TAL255" s="11"/>
      <c r="TAM255" s="11"/>
      <c r="TAN255" s="11"/>
      <c r="TAO255" s="11"/>
      <c r="TAP255" s="11"/>
      <c r="TAQ255" s="11"/>
      <c r="TAR255" s="11"/>
      <c r="TAS255" s="11"/>
      <c r="TAT255" s="11"/>
      <c r="TAU255" s="11"/>
      <c r="TAV255" s="11"/>
      <c r="TAW255" s="11"/>
      <c r="TAX255" s="11"/>
      <c r="TAY255" s="11"/>
      <c r="TAZ255" s="11"/>
      <c r="TBA255" s="11"/>
      <c r="TBB255" s="11"/>
      <c r="TBC255" s="11"/>
      <c r="TBD255" s="11"/>
      <c r="TBE255" s="11"/>
      <c r="TBF255" s="11"/>
      <c r="TBG255" s="11"/>
      <c r="TBH255" s="11"/>
      <c r="TBI255" s="11"/>
      <c r="TBJ255" s="11"/>
      <c r="TBK255" s="11"/>
      <c r="TBL255" s="11"/>
      <c r="TBM255" s="11"/>
      <c r="TBN255" s="11"/>
      <c r="TBO255" s="11"/>
      <c r="TBP255" s="11"/>
      <c r="TBQ255" s="11"/>
      <c r="TBR255" s="11"/>
      <c r="TBS255" s="11"/>
      <c r="TBT255" s="11"/>
      <c r="TBU255" s="11"/>
      <c r="TBV255" s="11"/>
      <c r="TBW255" s="11"/>
      <c r="TBX255" s="11"/>
      <c r="TBY255" s="11"/>
      <c r="TBZ255" s="11"/>
      <c r="TCA255" s="11"/>
      <c r="TCB255" s="11"/>
      <c r="TCC255" s="11"/>
      <c r="TCD255" s="11"/>
      <c r="TCE255" s="11"/>
      <c r="TCF255" s="11"/>
      <c r="TCG255" s="11"/>
      <c r="TCH255" s="11"/>
      <c r="TCI255" s="11"/>
      <c r="TCJ255" s="11"/>
      <c r="TCK255" s="11"/>
      <c r="TCL255" s="11"/>
      <c r="TCM255" s="11"/>
      <c r="TCN255" s="11"/>
      <c r="TCO255" s="11"/>
      <c r="TCP255" s="11"/>
      <c r="TCQ255" s="11"/>
      <c r="TCR255" s="11"/>
      <c r="TCS255" s="11"/>
      <c r="TCT255" s="11"/>
      <c r="TCU255" s="11"/>
      <c r="TCV255" s="11"/>
      <c r="TCW255" s="11"/>
      <c r="TCX255" s="11"/>
      <c r="TCY255" s="11"/>
      <c r="TCZ255" s="11"/>
      <c r="TDA255" s="11"/>
      <c r="TDB255" s="11"/>
      <c r="TDC255" s="11"/>
      <c r="TDD255" s="11"/>
      <c r="TDE255" s="11"/>
      <c r="TDF255" s="11"/>
      <c r="TDG255" s="11"/>
      <c r="TDH255" s="11"/>
      <c r="TDI255" s="11"/>
      <c r="TDJ255" s="11"/>
      <c r="TDK255" s="11"/>
      <c r="TDL255" s="11"/>
      <c r="TDM255" s="11"/>
      <c r="TDN255" s="11"/>
      <c r="TDO255" s="11"/>
      <c r="TDP255" s="11"/>
      <c r="TDQ255" s="11"/>
      <c r="TDR255" s="11"/>
      <c r="TDS255" s="11"/>
      <c r="TDT255" s="11"/>
      <c r="TDU255" s="11"/>
      <c r="TDV255" s="11"/>
      <c r="TDW255" s="11"/>
      <c r="TDX255" s="11"/>
      <c r="TDY255" s="11"/>
      <c r="TDZ255" s="11"/>
      <c r="TEA255" s="11"/>
      <c r="TEB255" s="11"/>
      <c r="TEC255" s="11"/>
      <c r="TED255" s="11"/>
      <c r="TEE255" s="11"/>
      <c r="TEF255" s="11"/>
      <c r="TEG255" s="11"/>
      <c r="TEH255" s="11"/>
      <c r="TEI255" s="11"/>
      <c r="TEJ255" s="11"/>
      <c r="TEK255" s="11"/>
      <c r="TEL255" s="11"/>
      <c r="TEM255" s="11"/>
      <c r="TEN255" s="11"/>
      <c r="TEO255" s="11"/>
      <c r="TEP255" s="11"/>
      <c r="TEQ255" s="11"/>
      <c r="TER255" s="11"/>
      <c r="TES255" s="11"/>
      <c r="TET255" s="11"/>
      <c r="TEU255" s="11"/>
      <c r="TEV255" s="11"/>
      <c r="TEW255" s="11"/>
      <c r="TEX255" s="11"/>
      <c r="TEY255" s="11"/>
      <c r="TEZ255" s="11"/>
      <c r="TFA255" s="11"/>
      <c r="TFB255" s="11"/>
      <c r="TFC255" s="11"/>
      <c r="TFD255" s="11"/>
      <c r="TFE255" s="11"/>
      <c r="TFF255" s="11"/>
      <c r="TFG255" s="11"/>
      <c r="TFH255" s="11"/>
      <c r="TFI255" s="11"/>
      <c r="TFJ255" s="11"/>
      <c r="TFK255" s="11"/>
      <c r="TFL255" s="11"/>
      <c r="TFM255" s="11"/>
      <c r="TFN255" s="11"/>
      <c r="TFO255" s="11"/>
      <c r="TFP255" s="11"/>
      <c r="TFQ255" s="11"/>
      <c r="TFR255" s="11"/>
      <c r="TFS255" s="11"/>
      <c r="TFT255" s="11"/>
      <c r="TFU255" s="11"/>
      <c r="TFV255" s="11"/>
      <c r="TFW255" s="11"/>
      <c r="TFX255" s="11"/>
      <c r="TFY255" s="11"/>
      <c r="TFZ255" s="11"/>
      <c r="TGA255" s="11"/>
      <c r="TGB255" s="11"/>
      <c r="TGC255" s="11"/>
      <c r="TGD255" s="11"/>
      <c r="TGE255" s="11"/>
      <c r="TGF255" s="11"/>
      <c r="TGG255" s="11"/>
      <c r="TGH255" s="11"/>
      <c r="TGI255" s="11"/>
      <c r="TGJ255" s="11"/>
      <c r="TGK255" s="11"/>
      <c r="TGL255" s="11"/>
      <c r="TGM255" s="11"/>
      <c r="TGN255" s="11"/>
      <c r="TGO255" s="11"/>
      <c r="TGP255" s="11"/>
      <c r="TGQ255" s="11"/>
      <c r="TGR255" s="11"/>
      <c r="TGS255" s="11"/>
      <c r="TGT255" s="11"/>
      <c r="TGU255" s="11"/>
      <c r="TGV255" s="11"/>
      <c r="TGW255" s="11"/>
      <c r="TGX255" s="11"/>
      <c r="TGY255" s="11"/>
      <c r="TGZ255" s="11"/>
      <c r="THA255" s="11"/>
      <c r="THB255" s="11"/>
      <c r="THC255" s="11"/>
      <c r="THD255" s="11"/>
      <c r="THE255" s="11"/>
      <c r="THF255" s="11"/>
      <c r="THG255" s="11"/>
      <c r="THH255" s="11"/>
      <c r="THI255" s="11"/>
      <c r="THJ255" s="11"/>
      <c r="THK255" s="11"/>
      <c r="THL255" s="11"/>
      <c r="THM255" s="11"/>
      <c r="THN255" s="11"/>
      <c r="THO255" s="11"/>
      <c r="THP255" s="11"/>
      <c r="THQ255" s="11"/>
      <c r="THR255" s="11"/>
      <c r="THS255" s="11"/>
      <c r="THT255" s="11"/>
      <c r="THU255" s="11"/>
      <c r="THV255" s="11"/>
      <c r="THW255" s="11"/>
      <c r="THX255" s="11"/>
      <c r="THY255" s="11"/>
      <c r="THZ255" s="11"/>
      <c r="TIA255" s="11"/>
      <c r="TIB255" s="11"/>
      <c r="TIC255" s="11"/>
      <c r="TID255" s="11"/>
      <c r="TIE255" s="11"/>
      <c r="TIF255" s="11"/>
      <c r="TIG255" s="11"/>
      <c r="TIH255" s="11"/>
      <c r="TII255" s="11"/>
      <c r="TIJ255" s="11"/>
      <c r="TIK255" s="11"/>
      <c r="TIL255" s="11"/>
      <c r="TIM255" s="11"/>
      <c r="TIN255" s="11"/>
      <c r="TIO255" s="11"/>
      <c r="TIP255" s="11"/>
      <c r="TIQ255" s="11"/>
      <c r="TIR255" s="11"/>
      <c r="TIS255" s="11"/>
      <c r="TIT255" s="11"/>
      <c r="TIU255" s="11"/>
      <c r="TIV255" s="11"/>
      <c r="TIW255" s="11"/>
      <c r="TIX255" s="11"/>
      <c r="TIY255" s="11"/>
      <c r="TIZ255" s="11"/>
      <c r="TJA255" s="11"/>
      <c r="TJB255" s="11"/>
      <c r="TJC255" s="11"/>
      <c r="TJD255" s="11"/>
      <c r="TJE255" s="11"/>
      <c r="TJF255" s="11"/>
      <c r="TJG255" s="11"/>
      <c r="TJH255" s="11"/>
      <c r="TJI255" s="11"/>
      <c r="TJJ255" s="11"/>
      <c r="TJK255" s="11"/>
      <c r="TJL255" s="11"/>
      <c r="TJM255" s="11"/>
      <c r="TJN255" s="11"/>
      <c r="TJO255" s="11"/>
      <c r="TJP255" s="11"/>
      <c r="TJQ255" s="11"/>
      <c r="TJR255" s="11"/>
      <c r="TJS255" s="11"/>
      <c r="TJT255" s="11"/>
      <c r="TJU255" s="11"/>
      <c r="TJV255" s="11"/>
      <c r="TJW255" s="11"/>
      <c r="TJX255" s="11"/>
      <c r="TJY255" s="11"/>
      <c r="TJZ255" s="11"/>
      <c r="TKA255" s="11"/>
      <c r="TKB255" s="11"/>
      <c r="TKC255" s="11"/>
      <c r="TKD255" s="11"/>
      <c r="TKE255" s="11"/>
      <c r="TKF255" s="11"/>
      <c r="TKG255" s="11"/>
      <c r="TKH255" s="11"/>
      <c r="TKI255" s="11"/>
      <c r="TKJ255" s="11"/>
      <c r="TKK255" s="11"/>
      <c r="TKL255" s="11"/>
      <c r="TKM255" s="11"/>
      <c r="TKN255" s="11"/>
      <c r="TKO255" s="11"/>
      <c r="TKP255" s="11"/>
      <c r="TKQ255" s="11"/>
      <c r="TKR255" s="11"/>
      <c r="TKS255" s="11"/>
      <c r="TKT255" s="11"/>
      <c r="TKU255" s="11"/>
      <c r="TKV255" s="11"/>
      <c r="TKW255" s="11"/>
      <c r="TKX255" s="11"/>
      <c r="TKY255" s="11"/>
      <c r="TKZ255" s="11"/>
      <c r="TLA255" s="11"/>
      <c r="TLB255" s="11"/>
      <c r="TLC255" s="11"/>
      <c r="TLD255" s="11"/>
      <c r="TLE255" s="11"/>
      <c r="TLF255" s="11"/>
      <c r="TLG255" s="11"/>
      <c r="TLH255" s="11"/>
      <c r="TLI255" s="11"/>
      <c r="TLJ255" s="11"/>
      <c r="TLK255" s="11"/>
      <c r="TLL255" s="11"/>
      <c r="TLM255" s="11"/>
      <c r="TLN255" s="11"/>
      <c r="TLO255" s="11"/>
      <c r="TLP255" s="11"/>
      <c r="TLQ255" s="11"/>
      <c r="TLR255" s="11"/>
      <c r="TLS255" s="11"/>
      <c r="TLT255" s="11"/>
      <c r="TLU255" s="11"/>
      <c r="TLV255" s="11"/>
      <c r="TLW255" s="11"/>
      <c r="TLX255" s="11"/>
      <c r="TLY255" s="11"/>
      <c r="TLZ255" s="11"/>
      <c r="TMA255" s="11"/>
      <c r="TMB255" s="11"/>
      <c r="TMC255" s="11"/>
      <c r="TMD255" s="11"/>
      <c r="TME255" s="11"/>
      <c r="TMF255" s="11"/>
      <c r="TMG255" s="11"/>
      <c r="TMH255" s="11"/>
      <c r="TMI255" s="11"/>
      <c r="TMJ255" s="11"/>
      <c r="TMK255" s="11"/>
      <c r="TML255" s="11"/>
      <c r="TMM255" s="11"/>
      <c r="TMN255" s="11"/>
      <c r="TMO255" s="11"/>
      <c r="TMP255" s="11"/>
      <c r="TMQ255" s="11"/>
      <c r="TMR255" s="11"/>
      <c r="TMS255" s="11"/>
      <c r="TMT255" s="11"/>
      <c r="TMU255" s="11"/>
      <c r="TMV255" s="11"/>
      <c r="TMW255" s="11"/>
      <c r="TMX255" s="11"/>
      <c r="TMY255" s="11"/>
      <c r="TMZ255" s="11"/>
      <c r="TNA255" s="11"/>
      <c r="TNB255" s="11"/>
      <c r="TNC255" s="11"/>
      <c r="TND255" s="11"/>
      <c r="TNE255" s="11"/>
      <c r="TNF255" s="11"/>
      <c r="TNG255" s="11"/>
      <c r="TNH255" s="11"/>
      <c r="TNI255" s="11"/>
      <c r="TNJ255" s="11"/>
      <c r="TNK255" s="11"/>
      <c r="TNL255" s="11"/>
      <c r="TNM255" s="11"/>
      <c r="TNN255" s="11"/>
      <c r="TNO255" s="11"/>
      <c r="TNP255" s="11"/>
      <c r="TNQ255" s="11"/>
      <c r="TNR255" s="11"/>
      <c r="TNS255" s="11"/>
      <c r="TNT255" s="11"/>
      <c r="TNU255" s="11"/>
      <c r="TNV255" s="11"/>
      <c r="TNW255" s="11"/>
      <c r="TNX255" s="11"/>
      <c r="TNY255" s="11"/>
      <c r="TNZ255" s="11"/>
      <c r="TOA255" s="11"/>
      <c r="TOB255" s="11"/>
      <c r="TOC255" s="11"/>
      <c r="TOD255" s="11"/>
      <c r="TOE255" s="11"/>
      <c r="TOF255" s="11"/>
      <c r="TOG255" s="11"/>
      <c r="TOH255" s="11"/>
      <c r="TOI255" s="11"/>
      <c r="TOJ255" s="11"/>
      <c r="TOK255" s="11"/>
      <c r="TOL255" s="11"/>
      <c r="TOM255" s="11"/>
      <c r="TON255" s="11"/>
      <c r="TOO255" s="11"/>
      <c r="TOP255" s="11"/>
      <c r="TOQ255" s="11"/>
      <c r="TOR255" s="11"/>
      <c r="TOS255" s="11"/>
      <c r="TOT255" s="11"/>
      <c r="TOU255" s="11"/>
      <c r="TOV255" s="11"/>
      <c r="TOW255" s="11"/>
      <c r="TOX255" s="11"/>
      <c r="TOY255" s="11"/>
      <c r="TOZ255" s="11"/>
      <c r="TPA255" s="11"/>
      <c r="TPB255" s="11"/>
      <c r="TPC255" s="11"/>
      <c r="TPD255" s="11"/>
      <c r="TPE255" s="11"/>
      <c r="TPF255" s="11"/>
      <c r="TPG255" s="11"/>
      <c r="TPH255" s="11"/>
      <c r="TPI255" s="11"/>
      <c r="TPJ255" s="11"/>
      <c r="TPK255" s="11"/>
      <c r="TPL255" s="11"/>
      <c r="TPM255" s="11"/>
      <c r="TPN255" s="11"/>
      <c r="TPO255" s="11"/>
      <c r="TPP255" s="11"/>
      <c r="TPQ255" s="11"/>
      <c r="TPR255" s="11"/>
      <c r="TPS255" s="11"/>
      <c r="TPT255" s="11"/>
      <c r="TPU255" s="11"/>
      <c r="TPV255" s="11"/>
      <c r="TPW255" s="11"/>
      <c r="TPX255" s="11"/>
      <c r="TPY255" s="11"/>
      <c r="TPZ255" s="11"/>
      <c r="TQA255" s="11"/>
      <c r="TQB255" s="11"/>
      <c r="TQC255" s="11"/>
      <c r="TQD255" s="11"/>
      <c r="TQE255" s="11"/>
      <c r="TQF255" s="11"/>
      <c r="TQG255" s="11"/>
      <c r="TQH255" s="11"/>
      <c r="TQI255" s="11"/>
      <c r="TQJ255" s="11"/>
      <c r="TQK255" s="11"/>
      <c r="TQL255" s="11"/>
      <c r="TQM255" s="11"/>
      <c r="TQN255" s="11"/>
      <c r="TQO255" s="11"/>
      <c r="TQP255" s="11"/>
      <c r="TQQ255" s="11"/>
      <c r="TQR255" s="11"/>
      <c r="TQS255" s="11"/>
      <c r="TQT255" s="11"/>
      <c r="TQU255" s="11"/>
      <c r="TQV255" s="11"/>
      <c r="TQW255" s="11"/>
      <c r="TQX255" s="11"/>
      <c r="TQY255" s="11"/>
      <c r="TQZ255" s="11"/>
      <c r="TRA255" s="11"/>
      <c r="TRB255" s="11"/>
      <c r="TRC255" s="11"/>
      <c r="TRD255" s="11"/>
      <c r="TRE255" s="11"/>
      <c r="TRF255" s="11"/>
      <c r="TRG255" s="11"/>
      <c r="TRH255" s="11"/>
      <c r="TRI255" s="11"/>
      <c r="TRJ255" s="11"/>
      <c r="TRK255" s="11"/>
      <c r="TRL255" s="11"/>
      <c r="TRM255" s="11"/>
      <c r="TRN255" s="11"/>
      <c r="TRO255" s="11"/>
      <c r="TRP255" s="11"/>
      <c r="TRQ255" s="11"/>
      <c r="TRR255" s="11"/>
      <c r="TRS255" s="11"/>
      <c r="TRT255" s="11"/>
      <c r="TRU255" s="11"/>
      <c r="TRV255" s="11"/>
      <c r="TRW255" s="11"/>
      <c r="TRX255" s="11"/>
      <c r="TRY255" s="11"/>
      <c r="TRZ255" s="11"/>
      <c r="TSA255" s="11"/>
      <c r="TSB255" s="11"/>
      <c r="TSC255" s="11"/>
      <c r="TSD255" s="11"/>
      <c r="TSE255" s="11"/>
      <c r="TSF255" s="11"/>
      <c r="TSG255" s="11"/>
      <c r="TSH255" s="11"/>
      <c r="TSI255" s="11"/>
      <c r="TSJ255" s="11"/>
      <c r="TSK255" s="11"/>
      <c r="TSL255" s="11"/>
      <c r="TSM255" s="11"/>
      <c r="TSN255" s="11"/>
      <c r="TSO255" s="11"/>
      <c r="TSP255" s="11"/>
      <c r="TSQ255" s="11"/>
      <c r="TSR255" s="11"/>
      <c r="TSS255" s="11"/>
      <c r="TST255" s="11"/>
      <c r="TSU255" s="11"/>
      <c r="TSV255" s="11"/>
      <c r="TSW255" s="11"/>
      <c r="TSX255" s="11"/>
      <c r="TSY255" s="11"/>
      <c r="TSZ255" s="11"/>
      <c r="TTA255" s="11"/>
      <c r="TTB255" s="11"/>
      <c r="TTC255" s="11"/>
      <c r="TTD255" s="11"/>
      <c r="TTE255" s="11"/>
      <c r="TTF255" s="11"/>
      <c r="TTG255" s="11"/>
      <c r="TTH255" s="11"/>
      <c r="TTI255" s="11"/>
      <c r="TTJ255" s="11"/>
      <c r="TTK255" s="11"/>
      <c r="TTL255" s="11"/>
      <c r="TTM255" s="11"/>
      <c r="TTN255" s="11"/>
      <c r="TTO255" s="11"/>
      <c r="TTP255" s="11"/>
      <c r="TTQ255" s="11"/>
      <c r="TTR255" s="11"/>
      <c r="TTS255" s="11"/>
      <c r="TTT255" s="11"/>
      <c r="TTU255" s="11"/>
      <c r="TTV255" s="11"/>
      <c r="TTW255" s="11"/>
      <c r="TTX255" s="11"/>
      <c r="TTY255" s="11"/>
      <c r="TTZ255" s="11"/>
      <c r="TUA255" s="11"/>
      <c r="TUB255" s="11"/>
      <c r="TUC255" s="11"/>
      <c r="TUD255" s="11"/>
      <c r="TUE255" s="11"/>
      <c r="TUF255" s="11"/>
      <c r="TUG255" s="11"/>
      <c r="TUH255" s="11"/>
      <c r="TUI255" s="11"/>
      <c r="TUJ255" s="11"/>
      <c r="TUK255" s="11"/>
      <c r="TUL255" s="11"/>
      <c r="TUM255" s="11"/>
      <c r="TUN255" s="11"/>
      <c r="TUO255" s="11"/>
      <c r="TUP255" s="11"/>
      <c r="TUQ255" s="11"/>
      <c r="TUR255" s="11"/>
      <c r="TUS255" s="11"/>
      <c r="TUT255" s="11"/>
      <c r="TUU255" s="11"/>
      <c r="TUV255" s="11"/>
      <c r="TUW255" s="11"/>
      <c r="TUX255" s="11"/>
      <c r="TUY255" s="11"/>
      <c r="TUZ255" s="11"/>
      <c r="TVA255" s="11"/>
      <c r="TVB255" s="11"/>
      <c r="TVC255" s="11"/>
      <c r="TVD255" s="11"/>
      <c r="TVE255" s="11"/>
      <c r="TVF255" s="11"/>
      <c r="TVG255" s="11"/>
      <c r="TVH255" s="11"/>
      <c r="TVI255" s="11"/>
      <c r="TVJ255" s="11"/>
      <c r="TVK255" s="11"/>
      <c r="TVL255" s="11"/>
      <c r="TVM255" s="11"/>
      <c r="TVN255" s="11"/>
      <c r="TVO255" s="11"/>
      <c r="TVP255" s="11"/>
      <c r="TVQ255" s="11"/>
      <c r="TVR255" s="11"/>
      <c r="TVS255" s="11"/>
      <c r="TVT255" s="11"/>
      <c r="TVU255" s="11"/>
      <c r="TVV255" s="11"/>
      <c r="TVW255" s="11"/>
      <c r="TVX255" s="11"/>
      <c r="TVY255" s="11"/>
      <c r="TVZ255" s="11"/>
      <c r="TWA255" s="11"/>
      <c r="TWB255" s="11"/>
      <c r="TWC255" s="11"/>
      <c r="TWD255" s="11"/>
      <c r="TWE255" s="11"/>
      <c r="TWF255" s="11"/>
      <c r="TWG255" s="11"/>
      <c r="TWH255" s="11"/>
      <c r="TWI255" s="11"/>
      <c r="TWJ255" s="11"/>
      <c r="TWK255" s="11"/>
      <c r="TWL255" s="11"/>
      <c r="TWM255" s="11"/>
      <c r="TWN255" s="11"/>
      <c r="TWO255" s="11"/>
      <c r="TWP255" s="11"/>
      <c r="TWQ255" s="11"/>
      <c r="TWR255" s="11"/>
      <c r="TWS255" s="11"/>
      <c r="TWT255" s="11"/>
      <c r="TWU255" s="11"/>
      <c r="TWV255" s="11"/>
      <c r="TWW255" s="11"/>
      <c r="TWX255" s="11"/>
      <c r="TWY255" s="11"/>
      <c r="TWZ255" s="11"/>
      <c r="TXA255" s="11"/>
      <c r="TXB255" s="11"/>
      <c r="TXC255" s="11"/>
      <c r="TXD255" s="11"/>
      <c r="TXE255" s="11"/>
      <c r="TXF255" s="11"/>
      <c r="TXG255" s="11"/>
      <c r="TXH255" s="11"/>
      <c r="TXI255" s="11"/>
      <c r="TXJ255" s="11"/>
      <c r="TXK255" s="11"/>
      <c r="TXL255" s="11"/>
      <c r="TXM255" s="11"/>
      <c r="TXN255" s="11"/>
      <c r="TXO255" s="11"/>
      <c r="TXP255" s="11"/>
      <c r="TXQ255" s="11"/>
      <c r="TXR255" s="11"/>
      <c r="TXS255" s="11"/>
      <c r="TXT255" s="11"/>
      <c r="TXU255" s="11"/>
      <c r="TXV255" s="11"/>
      <c r="TXW255" s="11"/>
      <c r="TXX255" s="11"/>
      <c r="TXY255" s="11"/>
      <c r="TXZ255" s="11"/>
      <c r="TYA255" s="11"/>
      <c r="TYB255" s="11"/>
      <c r="TYC255" s="11"/>
      <c r="TYD255" s="11"/>
      <c r="TYE255" s="11"/>
      <c r="TYF255" s="11"/>
      <c r="TYG255" s="11"/>
      <c r="TYH255" s="11"/>
      <c r="TYI255" s="11"/>
      <c r="TYJ255" s="11"/>
      <c r="TYK255" s="11"/>
      <c r="TYL255" s="11"/>
      <c r="TYM255" s="11"/>
      <c r="TYN255" s="11"/>
      <c r="TYO255" s="11"/>
      <c r="TYP255" s="11"/>
      <c r="TYQ255" s="11"/>
      <c r="TYR255" s="11"/>
      <c r="TYS255" s="11"/>
      <c r="TYT255" s="11"/>
      <c r="TYU255" s="11"/>
      <c r="TYV255" s="11"/>
      <c r="TYW255" s="11"/>
      <c r="TYX255" s="11"/>
      <c r="TYY255" s="11"/>
      <c r="TYZ255" s="11"/>
      <c r="TZA255" s="11"/>
      <c r="TZB255" s="11"/>
      <c r="TZC255" s="11"/>
      <c r="TZD255" s="11"/>
      <c r="TZE255" s="11"/>
      <c r="TZF255" s="11"/>
      <c r="TZG255" s="11"/>
      <c r="TZH255" s="11"/>
      <c r="TZI255" s="11"/>
      <c r="TZJ255" s="11"/>
      <c r="TZK255" s="11"/>
      <c r="TZL255" s="11"/>
      <c r="TZM255" s="11"/>
      <c r="TZN255" s="11"/>
      <c r="TZO255" s="11"/>
      <c r="TZP255" s="11"/>
      <c r="TZQ255" s="11"/>
      <c r="TZR255" s="11"/>
      <c r="TZS255" s="11"/>
      <c r="TZT255" s="11"/>
      <c r="TZU255" s="11"/>
      <c r="TZV255" s="11"/>
      <c r="TZW255" s="11"/>
      <c r="TZX255" s="11"/>
      <c r="TZY255" s="11"/>
      <c r="TZZ255" s="11"/>
      <c r="UAA255" s="11"/>
      <c r="UAB255" s="11"/>
      <c r="UAC255" s="11"/>
      <c r="UAD255" s="11"/>
      <c r="UAE255" s="11"/>
      <c r="UAF255" s="11"/>
      <c r="UAG255" s="11"/>
      <c r="UAH255" s="11"/>
      <c r="UAI255" s="11"/>
      <c r="UAJ255" s="11"/>
      <c r="UAK255" s="11"/>
      <c r="UAL255" s="11"/>
      <c r="UAM255" s="11"/>
      <c r="UAN255" s="11"/>
      <c r="UAO255" s="11"/>
      <c r="UAP255" s="11"/>
      <c r="UAQ255" s="11"/>
      <c r="UAR255" s="11"/>
      <c r="UAS255" s="11"/>
      <c r="UAT255" s="11"/>
      <c r="UAU255" s="11"/>
      <c r="UAV255" s="11"/>
      <c r="UAW255" s="11"/>
      <c r="UAX255" s="11"/>
      <c r="UAY255" s="11"/>
      <c r="UAZ255" s="11"/>
      <c r="UBA255" s="11"/>
      <c r="UBB255" s="11"/>
      <c r="UBC255" s="11"/>
      <c r="UBD255" s="11"/>
      <c r="UBE255" s="11"/>
      <c r="UBF255" s="11"/>
      <c r="UBG255" s="11"/>
      <c r="UBH255" s="11"/>
      <c r="UBI255" s="11"/>
      <c r="UBJ255" s="11"/>
      <c r="UBK255" s="11"/>
      <c r="UBL255" s="11"/>
      <c r="UBM255" s="11"/>
      <c r="UBN255" s="11"/>
      <c r="UBO255" s="11"/>
      <c r="UBP255" s="11"/>
      <c r="UBQ255" s="11"/>
      <c r="UBR255" s="11"/>
      <c r="UBS255" s="11"/>
      <c r="UBT255" s="11"/>
      <c r="UBU255" s="11"/>
      <c r="UBV255" s="11"/>
      <c r="UBW255" s="11"/>
      <c r="UBX255" s="11"/>
      <c r="UBY255" s="11"/>
      <c r="UBZ255" s="11"/>
      <c r="UCA255" s="11"/>
      <c r="UCB255" s="11"/>
      <c r="UCC255" s="11"/>
      <c r="UCD255" s="11"/>
      <c r="UCE255" s="11"/>
      <c r="UCF255" s="11"/>
      <c r="UCG255" s="11"/>
      <c r="UCH255" s="11"/>
      <c r="UCI255" s="11"/>
      <c r="UCJ255" s="11"/>
      <c r="UCK255" s="11"/>
      <c r="UCL255" s="11"/>
      <c r="UCM255" s="11"/>
      <c r="UCN255" s="11"/>
      <c r="UCO255" s="11"/>
      <c r="UCP255" s="11"/>
      <c r="UCQ255" s="11"/>
      <c r="UCR255" s="11"/>
      <c r="UCS255" s="11"/>
      <c r="UCT255" s="11"/>
      <c r="UCU255" s="11"/>
      <c r="UCV255" s="11"/>
      <c r="UCW255" s="11"/>
      <c r="UCX255" s="11"/>
      <c r="UCY255" s="11"/>
      <c r="UCZ255" s="11"/>
      <c r="UDA255" s="11"/>
      <c r="UDB255" s="11"/>
      <c r="UDC255" s="11"/>
      <c r="UDD255" s="11"/>
      <c r="UDE255" s="11"/>
      <c r="UDF255" s="11"/>
      <c r="UDG255" s="11"/>
      <c r="UDH255" s="11"/>
      <c r="UDI255" s="11"/>
      <c r="UDJ255" s="11"/>
      <c r="UDK255" s="11"/>
      <c r="UDL255" s="11"/>
      <c r="UDM255" s="11"/>
      <c r="UDN255" s="11"/>
      <c r="UDO255" s="11"/>
      <c r="UDP255" s="11"/>
      <c r="UDQ255" s="11"/>
      <c r="UDR255" s="11"/>
      <c r="UDS255" s="11"/>
      <c r="UDT255" s="11"/>
      <c r="UDU255" s="11"/>
      <c r="UDV255" s="11"/>
      <c r="UDW255" s="11"/>
      <c r="UDX255" s="11"/>
      <c r="UDY255" s="11"/>
      <c r="UDZ255" s="11"/>
      <c r="UEA255" s="11"/>
      <c r="UEB255" s="11"/>
      <c r="UEC255" s="11"/>
      <c r="UED255" s="11"/>
      <c r="UEE255" s="11"/>
      <c r="UEF255" s="11"/>
      <c r="UEG255" s="11"/>
      <c r="UEH255" s="11"/>
      <c r="UEI255" s="11"/>
      <c r="UEJ255" s="11"/>
      <c r="UEK255" s="11"/>
      <c r="UEL255" s="11"/>
      <c r="UEM255" s="11"/>
      <c r="UEN255" s="11"/>
      <c r="UEO255" s="11"/>
      <c r="UEP255" s="11"/>
      <c r="UEQ255" s="11"/>
      <c r="UER255" s="11"/>
      <c r="UES255" s="11"/>
      <c r="UET255" s="11"/>
      <c r="UEU255" s="11"/>
      <c r="UEV255" s="11"/>
      <c r="UEW255" s="11"/>
      <c r="UEX255" s="11"/>
      <c r="UEY255" s="11"/>
      <c r="UEZ255" s="11"/>
      <c r="UFA255" s="11"/>
      <c r="UFB255" s="11"/>
      <c r="UFC255" s="11"/>
      <c r="UFD255" s="11"/>
      <c r="UFE255" s="11"/>
      <c r="UFF255" s="11"/>
      <c r="UFG255" s="11"/>
      <c r="UFH255" s="11"/>
      <c r="UFI255" s="11"/>
      <c r="UFJ255" s="11"/>
      <c r="UFK255" s="11"/>
      <c r="UFL255" s="11"/>
      <c r="UFM255" s="11"/>
      <c r="UFN255" s="11"/>
      <c r="UFO255" s="11"/>
      <c r="UFP255" s="11"/>
      <c r="UFQ255" s="11"/>
      <c r="UFR255" s="11"/>
      <c r="UFS255" s="11"/>
      <c r="UFT255" s="11"/>
      <c r="UFU255" s="11"/>
      <c r="UFV255" s="11"/>
      <c r="UFW255" s="11"/>
      <c r="UFX255" s="11"/>
      <c r="UFY255" s="11"/>
      <c r="UFZ255" s="11"/>
      <c r="UGA255" s="11"/>
      <c r="UGB255" s="11"/>
      <c r="UGC255" s="11"/>
      <c r="UGD255" s="11"/>
      <c r="UGE255" s="11"/>
      <c r="UGF255" s="11"/>
      <c r="UGG255" s="11"/>
      <c r="UGH255" s="11"/>
      <c r="UGI255" s="11"/>
      <c r="UGJ255" s="11"/>
      <c r="UGK255" s="11"/>
      <c r="UGL255" s="11"/>
      <c r="UGM255" s="11"/>
      <c r="UGN255" s="11"/>
      <c r="UGO255" s="11"/>
      <c r="UGP255" s="11"/>
      <c r="UGQ255" s="11"/>
      <c r="UGR255" s="11"/>
      <c r="UGS255" s="11"/>
      <c r="UGT255" s="11"/>
      <c r="UGU255" s="11"/>
      <c r="UGV255" s="11"/>
      <c r="UGW255" s="11"/>
      <c r="UGX255" s="11"/>
      <c r="UGY255" s="11"/>
      <c r="UGZ255" s="11"/>
      <c r="UHA255" s="11"/>
      <c r="UHB255" s="11"/>
      <c r="UHC255" s="11"/>
      <c r="UHD255" s="11"/>
      <c r="UHE255" s="11"/>
      <c r="UHF255" s="11"/>
      <c r="UHG255" s="11"/>
      <c r="UHH255" s="11"/>
      <c r="UHI255" s="11"/>
      <c r="UHJ255" s="11"/>
      <c r="UHK255" s="11"/>
      <c r="UHL255" s="11"/>
      <c r="UHM255" s="11"/>
      <c r="UHN255" s="11"/>
      <c r="UHO255" s="11"/>
      <c r="UHP255" s="11"/>
      <c r="UHQ255" s="11"/>
      <c r="UHR255" s="11"/>
      <c r="UHS255" s="11"/>
      <c r="UHT255" s="11"/>
      <c r="UHU255" s="11"/>
      <c r="UHV255" s="11"/>
      <c r="UHW255" s="11"/>
      <c r="UHX255" s="11"/>
      <c r="UHY255" s="11"/>
      <c r="UHZ255" s="11"/>
      <c r="UIA255" s="11"/>
      <c r="UIB255" s="11"/>
      <c r="UIC255" s="11"/>
      <c r="UID255" s="11"/>
      <c r="UIE255" s="11"/>
      <c r="UIF255" s="11"/>
      <c r="UIG255" s="11"/>
      <c r="UIH255" s="11"/>
      <c r="UII255" s="11"/>
      <c r="UIJ255" s="11"/>
      <c r="UIK255" s="11"/>
      <c r="UIL255" s="11"/>
      <c r="UIM255" s="11"/>
      <c r="UIN255" s="11"/>
      <c r="UIO255" s="11"/>
      <c r="UIP255" s="11"/>
      <c r="UIQ255" s="11"/>
      <c r="UIR255" s="11"/>
      <c r="UIS255" s="11"/>
      <c r="UIT255" s="11"/>
      <c r="UIU255" s="11"/>
      <c r="UIV255" s="11"/>
      <c r="UIW255" s="11"/>
      <c r="UIX255" s="11"/>
      <c r="UIY255" s="11"/>
      <c r="UIZ255" s="11"/>
      <c r="UJA255" s="11"/>
      <c r="UJB255" s="11"/>
      <c r="UJC255" s="11"/>
      <c r="UJD255" s="11"/>
      <c r="UJE255" s="11"/>
      <c r="UJF255" s="11"/>
      <c r="UJG255" s="11"/>
      <c r="UJH255" s="11"/>
      <c r="UJI255" s="11"/>
      <c r="UJJ255" s="11"/>
      <c r="UJK255" s="11"/>
      <c r="UJL255" s="11"/>
      <c r="UJM255" s="11"/>
      <c r="UJN255" s="11"/>
      <c r="UJO255" s="11"/>
      <c r="UJP255" s="11"/>
      <c r="UJQ255" s="11"/>
      <c r="UJR255" s="11"/>
      <c r="UJS255" s="11"/>
      <c r="UJT255" s="11"/>
      <c r="UJU255" s="11"/>
      <c r="UJV255" s="11"/>
      <c r="UJW255" s="11"/>
      <c r="UJX255" s="11"/>
      <c r="UJY255" s="11"/>
      <c r="UJZ255" s="11"/>
      <c r="UKA255" s="11"/>
      <c r="UKB255" s="11"/>
      <c r="UKC255" s="11"/>
      <c r="UKD255" s="11"/>
      <c r="UKE255" s="11"/>
      <c r="UKF255" s="11"/>
      <c r="UKG255" s="11"/>
      <c r="UKH255" s="11"/>
      <c r="UKI255" s="11"/>
      <c r="UKJ255" s="11"/>
      <c r="UKK255" s="11"/>
      <c r="UKL255" s="11"/>
      <c r="UKM255" s="11"/>
      <c r="UKN255" s="11"/>
      <c r="UKO255" s="11"/>
      <c r="UKP255" s="11"/>
      <c r="UKQ255" s="11"/>
      <c r="UKR255" s="11"/>
      <c r="UKS255" s="11"/>
      <c r="UKT255" s="11"/>
      <c r="UKU255" s="11"/>
      <c r="UKV255" s="11"/>
      <c r="UKW255" s="11"/>
      <c r="UKX255" s="11"/>
      <c r="UKY255" s="11"/>
      <c r="UKZ255" s="11"/>
      <c r="ULA255" s="11"/>
      <c r="ULB255" s="11"/>
      <c r="ULC255" s="11"/>
      <c r="ULD255" s="11"/>
      <c r="ULE255" s="11"/>
      <c r="ULF255" s="11"/>
      <c r="ULG255" s="11"/>
      <c r="ULH255" s="11"/>
      <c r="ULI255" s="11"/>
      <c r="ULJ255" s="11"/>
      <c r="ULK255" s="11"/>
      <c r="ULL255" s="11"/>
      <c r="ULM255" s="11"/>
      <c r="ULN255" s="11"/>
      <c r="ULO255" s="11"/>
      <c r="ULP255" s="11"/>
      <c r="ULQ255" s="11"/>
      <c r="ULR255" s="11"/>
      <c r="ULS255" s="11"/>
      <c r="ULT255" s="11"/>
      <c r="ULU255" s="11"/>
      <c r="ULV255" s="11"/>
      <c r="ULW255" s="11"/>
      <c r="ULX255" s="11"/>
      <c r="ULY255" s="11"/>
      <c r="ULZ255" s="11"/>
      <c r="UMA255" s="11"/>
      <c r="UMB255" s="11"/>
      <c r="UMC255" s="11"/>
      <c r="UMD255" s="11"/>
      <c r="UME255" s="11"/>
      <c r="UMF255" s="11"/>
      <c r="UMG255" s="11"/>
      <c r="UMH255" s="11"/>
      <c r="UMI255" s="11"/>
      <c r="UMJ255" s="11"/>
      <c r="UMK255" s="11"/>
      <c r="UML255" s="11"/>
      <c r="UMM255" s="11"/>
      <c r="UMN255" s="11"/>
      <c r="UMO255" s="11"/>
      <c r="UMP255" s="11"/>
      <c r="UMQ255" s="11"/>
      <c r="UMR255" s="11"/>
      <c r="UMS255" s="11"/>
      <c r="UMT255" s="11"/>
      <c r="UMU255" s="11"/>
      <c r="UMV255" s="11"/>
      <c r="UMW255" s="11"/>
      <c r="UMX255" s="11"/>
      <c r="UMY255" s="11"/>
      <c r="UMZ255" s="11"/>
      <c r="UNA255" s="11"/>
      <c r="UNB255" s="11"/>
      <c r="UNC255" s="11"/>
      <c r="UND255" s="11"/>
      <c r="UNE255" s="11"/>
      <c r="UNF255" s="11"/>
      <c r="UNG255" s="11"/>
      <c r="UNH255" s="11"/>
      <c r="UNI255" s="11"/>
      <c r="UNJ255" s="11"/>
      <c r="UNK255" s="11"/>
      <c r="UNL255" s="11"/>
      <c r="UNM255" s="11"/>
      <c r="UNN255" s="11"/>
      <c r="UNO255" s="11"/>
      <c r="UNP255" s="11"/>
      <c r="UNQ255" s="11"/>
      <c r="UNR255" s="11"/>
      <c r="UNS255" s="11"/>
      <c r="UNT255" s="11"/>
      <c r="UNU255" s="11"/>
      <c r="UNV255" s="11"/>
      <c r="UNW255" s="11"/>
      <c r="UNX255" s="11"/>
      <c r="UNY255" s="11"/>
      <c r="UNZ255" s="11"/>
      <c r="UOA255" s="11"/>
      <c r="UOB255" s="11"/>
      <c r="UOC255" s="11"/>
      <c r="UOD255" s="11"/>
      <c r="UOE255" s="11"/>
      <c r="UOF255" s="11"/>
      <c r="UOG255" s="11"/>
      <c r="UOH255" s="11"/>
      <c r="UOI255" s="11"/>
      <c r="UOJ255" s="11"/>
      <c r="UOK255" s="11"/>
      <c r="UOL255" s="11"/>
      <c r="UOM255" s="11"/>
      <c r="UON255" s="11"/>
      <c r="UOO255" s="11"/>
      <c r="UOP255" s="11"/>
      <c r="UOQ255" s="11"/>
      <c r="UOR255" s="11"/>
      <c r="UOS255" s="11"/>
      <c r="UOT255" s="11"/>
      <c r="UOU255" s="11"/>
      <c r="UOV255" s="11"/>
      <c r="UOW255" s="11"/>
      <c r="UOX255" s="11"/>
      <c r="UOY255" s="11"/>
      <c r="UOZ255" s="11"/>
      <c r="UPA255" s="11"/>
      <c r="UPB255" s="11"/>
      <c r="UPC255" s="11"/>
      <c r="UPD255" s="11"/>
      <c r="UPE255" s="11"/>
      <c r="UPF255" s="11"/>
      <c r="UPG255" s="11"/>
      <c r="UPH255" s="11"/>
      <c r="UPI255" s="11"/>
      <c r="UPJ255" s="11"/>
      <c r="UPK255" s="11"/>
      <c r="UPL255" s="11"/>
      <c r="UPM255" s="11"/>
      <c r="UPN255" s="11"/>
      <c r="UPO255" s="11"/>
      <c r="UPP255" s="11"/>
      <c r="UPQ255" s="11"/>
      <c r="UPR255" s="11"/>
      <c r="UPS255" s="11"/>
      <c r="UPT255" s="11"/>
      <c r="UPU255" s="11"/>
      <c r="UPV255" s="11"/>
      <c r="UPW255" s="11"/>
      <c r="UPX255" s="11"/>
      <c r="UPY255" s="11"/>
      <c r="UPZ255" s="11"/>
      <c r="UQA255" s="11"/>
      <c r="UQB255" s="11"/>
      <c r="UQC255" s="11"/>
      <c r="UQD255" s="11"/>
      <c r="UQE255" s="11"/>
      <c r="UQF255" s="11"/>
      <c r="UQG255" s="11"/>
      <c r="UQH255" s="11"/>
      <c r="UQI255" s="11"/>
      <c r="UQJ255" s="11"/>
      <c r="UQK255" s="11"/>
      <c r="UQL255" s="11"/>
      <c r="UQM255" s="11"/>
      <c r="UQN255" s="11"/>
      <c r="UQO255" s="11"/>
      <c r="UQP255" s="11"/>
      <c r="UQQ255" s="11"/>
      <c r="UQR255" s="11"/>
      <c r="UQS255" s="11"/>
      <c r="UQT255" s="11"/>
      <c r="UQU255" s="11"/>
      <c r="UQV255" s="11"/>
      <c r="UQW255" s="11"/>
      <c r="UQX255" s="11"/>
      <c r="UQY255" s="11"/>
      <c r="UQZ255" s="11"/>
      <c r="URA255" s="11"/>
      <c r="URB255" s="11"/>
      <c r="URC255" s="11"/>
      <c r="URD255" s="11"/>
      <c r="URE255" s="11"/>
      <c r="URF255" s="11"/>
      <c r="URG255" s="11"/>
      <c r="URH255" s="11"/>
      <c r="URI255" s="11"/>
      <c r="URJ255" s="11"/>
      <c r="URK255" s="11"/>
      <c r="URL255" s="11"/>
      <c r="URM255" s="11"/>
      <c r="URN255" s="11"/>
      <c r="URO255" s="11"/>
      <c r="URP255" s="11"/>
      <c r="URQ255" s="11"/>
      <c r="URR255" s="11"/>
      <c r="URS255" s="11"/>
      <c r="URT255" s="11"/>
      <c r="URU255" s="11"/>
      <c r="URV255" s="11"/>
      <c r="URW255" s="11"/>
      <c r="URX255" s="11"/>
      <c r="URY255" s="11"/>
      <c r="URZ255" s="11"/>
      <c r="USA255" s="11"/>
      <c r="USB255" s="11"/>
      <c r="USC255" s="11"/>
      <c r="USD255" s="11"/>
      <c r="USE255" s="11"/>
      <c r="USF255" s="11"/>
      <c r="USG255" s="11"/>
      <c r="USH255" s="11"/>
      <c r="USI255" s="11"/>
      <c r="USJ255" s="11"/>
      <c r="USK255" s="11"/>
      <c r="USL255" s="11"/>
      <c r="USM255" s="11"/>
      <c r="USN255" s="11"/>
      <c r="USO255" s="11"/>
      <c r="USP255" s="11"/>
      <c r="USQ255" s="11"/>
      <c r="USR255" s="11"/>
      <c r="USS255" s="11"/>
      <c r="UST255" s="11"/>
      <c r="USU255" s="11"/>
      <c r="USV255" s="11"/>
      <c r="USW255" s="11"/>
      <c r="USX255" s="11"/>
      <c r="USY255" s="11"/>
      <c r="USZ255" s="11"/>
      <c r="UTA255" s="11"/>
      <c r="UTB255" s="11"/>
      <c r="UTC255" s="11"/>
      <c r="UTD255" s="11"/>
      <c r="UTE255" s="11"/>
      <c r="UTF255" s="11"/>
      <c r="UTG255" s="11"/>
      <c r="UTH255" s="11"/>
      <c r="UTI255" s="11"/>
      <c r="UTJ255" s="11"/>
      <c r="UTK255" s="11"/>
      <c r="UTL255" s="11"/>
      <c r="UTM255" s="11"/>
      <c r="UTN255" s="11"/>
      <c r="UTO255" s="11"/>
      <c r="UTP255" s="11"/>
      <c r="UTQ255" s="11"/>
      <c r="UTR255" s="11"/>
      <c r="UTS255" s="11"/>
      <c r="UTT255" s="11"/>
      <c r="UTU255" s="11"/>
      <c r="UTV255" s="11"/>
      <c r="UTW255" s="11"/>
      <c r="UTX255" s="11"/>
      <c r="UTY255" s="11"/>
      <c r="UTZ255" s="11"/>
      <c r="UUA255" s="11"/>
      <c r="UUB255" s="11"/>
      <c r="UUC255" s="11"/>
      <c r="UUD255" s="11"/>
      <c r="UUE255" s="11"/>
      <c r="UUF255" s="11"/>
      <c r="UUG255" s="11"/>
      <c r="UUH255" s="11"/>
      <c r="UUI255" s="11"/>
      <c r="UUJ255" s="11"/>
      <c r="UUK255" s="11"/>
      <c r="UUL255" s="11"/>
      <c r="UUM255" s="11"/>
      <c r="UUN255" s="11"/>
      <c r="UUO255" s="11"/>
      <c r="UUP255" s="11"/>
      <c r="UUQ255" s="11"/>
      <c r="UUR255" s="11"/>
      <c r="UUS255" s="11"/>
      <c r="UUT255" s="11"/>
      <c r="UUU255" s="11"/>
      <c r="UUV255" s="11"/>
      <c r="UUW255" s="11"/>
      <c r="UUX255" s="11"/>
      <c r="UUY255" s="11"/>
      <c r="UUZ255" s="11"/>
      <c r="UVA255" s="11"/>
      <c r="UVB255" s="11"/>
      <c r="UVC255" s="11"/>
      <c r="UVD255" s="11"/>
      <c r="UVE255" s="11"/>
      <c r="UVF255" s="11"/>
      <c r="UVG255" s="11"/>
      <c r="UVH255" s="11"/>
      <c r="UVI255" s="11"/>
      <c r="UVJ255" s="11"/>
      <c r="UVK255" s="11"/>
      <c r="UVL255" s="11"/>
      <c r="UVM255" s="11"/>
      <c r="UVN255" s="11"/>
      <c r="UVO255" s="11"/>
      <c r="UVP255" s="11"/>
      <c r="UVQ255" s="11"/>
      <c r="UVR255" s="11"/>
      <c r="UVS255" s="11"/>
      <c r="UVT255" s="11"/>
      <c r="UVU255" s="11"/>
      <c r="UVV255" s="11"/>
      <c r="UVW255" s="11"/>
      <c r="UVX255" s="11"/>
      <c r="UVY255" s="11"/>
      <c r="UVZ255" s="11"/>
      <c r="UWA255" s="11"/>
      <c r="UWB255" s="11"/>
      <c r="UWC255" s="11"/>
      <c r="UWD255" s="11"/>
      <c r="UWE255" s="11"/>
      <c r="UWF255" s="11"/>
      <c r="UWG255" s="11"/>
      <c r="UWH255" s="11"/>
      <c r="UWI255" s="11"/>
      <c r="UWJ255" s="11"/>
      <c r="UWK255" s="11"/>
      <c r="UWL255" s="11"/>
      <c r="UWM255" s="11"/>
      <c r="UWN255" s="11"/>
      <c r="UWO255" s="11"/>
      <c r="UWP255" s="11"/>
      <c r="UWQ255" s="11"/>
      <c r="UWR255" s="11"/>
      <c r="UWS255" s="11"/>
      <c r="UWT255" s="11"/>
      <c r="UWU255" s="11"/>
      <c r="UWV255" s="11"/>
      <c r="UWW255" s="11"/>
      <c r="UWX255" s="11"/>
      <c r="UWY255" s="11"/>
      <c r="UWZ255" s="11"/>
      <c r="UXA255" s="11"/>
      <c r="UXB255" s="11"/>
      <c r="UXC255" s="11"/>
      <c r="UXD255" s="11"/>
      <c r="UXE255" s="11"/>
      <c r="UXF255" s="11"/>
      <c r="UXG255" s="11"/>
      <c r="UXH255" s="11"/>
      <c r="UXI255" s="11"/>
      <c r="UXJ255" s="11"/>
      <c r="UXK255" s="11"/>
      <c r="UXL255" s="11"/>
      <c r="UXM255" s="11"/>
      <c r="UXN255" s="11"/>
      <c r="UXO255" s="11"/>
      <c r="UXP255" s="11"/>
      <c r="UXQ255" s="11"/>
      <c r="UXR255" s="11"/>
      <c r="UXS255" s="11"/>
      <c r="UXT255" s="11"/>
      <c r="UXU255" s="11"/>
      <c r="UXV255" s="11"/>
      <c r="UXW255" s="11"/>
      <c r="UXX255" s="11"/>
      <c r="UXY255" s="11"/>
      <c r="UXZ255" s="11"/>
      <c r="UYA255" s="11"/>
      <c r="UYB255" s="11"/>
      <c r="UYC255" s="11"/>
      <c r="UYD255" s="11"/>
      <c r="UYE255" s="11"/>
      <c r="UYF255" s="11"/>
      <c r="UYG255" s="11"/>
      <c r="UYH255" s="11"/>
      <c r="UYI255" s="11"/>
      <c r="UYJ255" s="11"/>
      <c r="UYK255" s="11"/>
      <c r="UYL255" s="11"/>
      <c r="UYM255" s="11"/>
      <c r="UYN255" s="11"/>
      <c r="UYO255" s="11"/>
      <c r="UYP255" s="11"/>
      <c r="UYQ255" s="11"/>
      <c r="UYR255" s="11"/>
      <c r="UYS255" s="11"/>
      <c r="UYT255" s="11"/>
      <c r="UYU255" s="11"/>
      <c r="UYV255" s="11"/>
      <c r="UYW255" s="11"/>
      <c r="UYX255" s="11"/>
      <c r="UYY255" s="11"/>
      <c r="UYZ255" s="11"/>
      <c r="UZA255" s="11"/>
      <c r="UZB255" s="11"/>
      <c r="UZC255" s="11"/>
      <c r="UZD255" s="11"/>
      <c r="UZE255" s="11"/>
      <c r="UZF255" s="11"/>
      <c r="UZG255" s="11"/>
      <c r="UZH255" s="11"/>
      <c r="UZI255" s="11"/>
      <c r="UZJ255" s="11"/>
      <c r="UZK255" s="11"/>
      <c r="UZL255" s="11"/>
      <c r="UZM255" s="11"/>
      <c r="UZN255" s="11"/>
      <c r="UZO255" s="11"/>
      <c r="UZP255" s="11"/>
      <c r="UZQ255" s="11"/>
      <c r="UZR255" s="11"/>
      <c r="UZS255" s="11"/>
      <c r="UZT255" s="11"/>
      <c r="UZU255" s="11"/>
      <c r="UZV255" s="11"/>
      <c r="UZW255" s="11"/>
      <c r="UZX255" s="11"/>
      <c r="UZY255" s="11"/>
      <c r="UZZ255" s="11"/>
      <c r="VAA255" s="11"/>
      <c r="VAB255" s="11"/>
      <c r="VAC255" s="11"/>
      <c r="VAD255" s="11"/>
      <c r="VAE255" s="11"/>
      <c r="VAF255" s="11"/>
      <c r="VAG255" s="11"/>
      <c r="VAH255" s="11"/>
      <c r="VAI255" s="11"/>
      <c r="VAJ255" s="11"/>
      <c r="VAK255" s="11"/>
      <c r="VAL255" s="11"/>
      <c r="VAM255" s="11"/>
      <c r="VAN255" s="11"/>
      <c r="VAO255" s="11"/>
      <c r="VAP255" s="11"/>
      <c r="VAQ255" s="11"/>
      <c r="VAR255" s="11"/>
      <c r="VAS255" s="11"/>
      <c r="VAT255" s="11"/>
      <c r="VAU255" s="11"/>
      <c r="VAV255" s="11"/>
      <c r="VAW255" s="11"/>
      <c r="VAX255" s="11"/>
      <c r="VAY255" s="11"/>
      <c r="VAZ255" s="11"/>
      <c r="VBA255" s="11"/>
      <c r="VBB255" s="11"/>
      <c r="VBC255" s="11"/>
      <c r="VBD255" s="11"/>
      <c r="VBE255" s="11"/>
      <c r="VBF255" s="11"/>
      <c r="VBG255" s="11"/>
      <c r="VBH255" s="11"/>
      <c r="VBI255" s="11"/>
      <c r="VBJ255" s="11"/>
      <c r="VBK255" s="11"/>
      <c r="VBL255" s="11"/>
      <c r="VBM255" s="11"/>
      <c r="VBN255" s="11"/>
      <c r="VBO255" s="11"/>
      <c r="VBP255" s="11"/>
      <c r="VBQ255" s="11"/>
      <c r="VBR255" s="11"/>
      <c r="VBS255" s="11"/>
      <c r="VBT255" s="11"/>
      <c r="VBU255" s="11"/>
      <c r="VBV255" s="11"/>
      <c r="VBW255" s="11"/>
      <c r="VBX255" s="11"/>
      <c r="VBY255" s="11"/>
      <c r="VBZ255" s="11"/>
      <c r="VCA255" s="11"/>
      <c r="VCB255" s="11"/>
      <c r="VCC255" s="11"/>
      <c r="VCD255" s="11"/>
      <c r="VCE255" s="11"/>
      <c r="VCF255" s="11"/>
      <c r="VCG255" s="11"/>
      <c r="VCH255" s="11"/>
      <c r="VCI255" s="11"/>
      <c r="VCJ255" s="11"/>
      <c r="VCK255" s="11"/>
      <c r="VCL255" s="11"/>
      <c r="VCM255" s="11"/>
      <c r="VCN255" s="11"/>
      <c r="VCO255" s="11"/>
      <c r="VCP255" s="11"/>
      <c r="VCQ255" s="11"/>
      <c r="VCR255" s="11"/>
      <c r="VCS255" s="11"/>
      <c r="VCT255" s="11"/>
      <c r="VCU255" s="11"/>
      <c r="VCV255" s="11"/>
      <c r="VCW255" s="11"/>
      <c r="VCX255" s="11"/>
      <c r="VCY255" s="11"/>
      <c r="VCZ255" s="11"/>
      <c r="VDA255" s="11"/>
      <c r="VDB255" s="11"/>
      <c r="VDC255" s="11"/>
      <c r="VDD255" s="11"/>
      <c r="VDE255" s="11"/>
      <c r="VDF255" s="11"/>
      <c r="VDG255" s="11"/>
      <c r="VDH255" s="11"/>
      <c r="VDI255" s="11"/>
      <c r="VDJ255" s="11"/>
      <c r="VDK255" s="11"/>
      <c r="VDL255" s="11"/>
      <c r="VDM255" s="11"/>
      <c r="VDN255" s="11"/>
      <c r="VDO255" s="11"/>
      <c r="VDP255" s="11"/>
      <c r="VDQ255" s="11"/>
      <c r="VDR255" s="11"/>
      <c r="VDS255" s="11"/>
      <c r="VDT255" s="11"/>
      <c r="VDU255" s="11"/>
      <c r="VDV255" s="11"/>
      <c r="VDW255" s="11"/>
      <c r="VDX255" s="11"/>
      <c r="VDY255" s="11"/>
      <c r="VDZ255" s="11"/>
      <c r="VEA255" s="11"/>
      <c r="VEB255" s="11"/>
      <c r="VEC255" s="11"/>
      <c r="VED255" s="11"/>
      <c r="VEE255" s="11"/>
      <c r="VEF255" s="11"/>
      <c r="VEG255" s="11"/>
      <c r="VEH255" s="11"/>
      <c r="VEI255" s="11"/>
      <c r="VEJ255" s="11"/>
      <c r="VEK255" s="11"/>
      <c r="VEL255" s="11"/>
      <c r="VEM255" s="11"/>
      <c r="VEN255" s="11"/>
      <c r="VEO255" s="11"/>
      <c r="VEP255" s="11"/>
      <c r="VEQ255" s="11"/>
      <c r="VER255" s="11"/>
      <c r="VES255" s="11"/>
      <c r="VET255" s="11"/>
      <c r="VEU255" s="11"/>
      <c r="VEV255" s="11"/>
      <c r="VEW255" s="11"/>
      <c r="VEX255" s="11"/>
      <c r="VEY255" s="11"/>
      <c r="VEZ255" s="11"/>
      <c r="VFA255" s="11"/>
      <c r="VFB255" s="11"/>
      <c r="VFC255" s="11"/>
      <c r="VFD255" s="11"/>
      <c r="VFE255" s="11"/>
      <c r="VFF255" s="11"/>
      <c r="VFG255" s="11"/>
      <c r="VFH255" s="11"/>
      <c r="VFI255" s="11"/>
      <c r="VFJ255" s="11"/>
      <c r="VFK255" s="11"/>
      <c r="VFL255" s="11"/>
      <c r="VFM255" s="11"/>
      <c r="VFN255" s="11"/>
      <c r="VFO255" s="11"/>
      <c r="VFP255" s="11"/>
      <c r="VFQ255" s="11"/>
      <c r="VFR255" s="11"/>
      <c r="VFS255" s="11"/>
      <c r="VFT255" s="11"/>
      <c r="VFU255" s="11"/>
      <c r="VFV255" s="11"/>
      <c r="VFW255" s="11"/>
      <c r="VFX255" s="11"/>
      <c r="VFY255" s="11"/>
      <c r="VFZ255" s="11"/>
      <c r="VGA255" s="11"/>
      <c r="VGB255" s="11"/>
      <c r="VGC255" s="11"/>
      <c r="VGD255" s="11"/>
      <c r="VGE255" s="11"/>
      <c r="VGF255" s="11"/>
      <c r="VGG255" s="11"/>
      <c r="VGH255" s="11"/>
      <c r="VGI255" s="11"/>
      <c r="VGJ255" s="11"/>
      <c r="VGK255" s="11"/>
      <c r="VGL255" s="11"/>
      <c r="VGM255" s="11"/>
      <c r="VGN255" s="11"/>
      <c r="VGO255" s="11"/>
      <c r="VGP255" s="11"/>
      <c r="VGQ255" s="11"/>
      <c r="VGR255" s="11"/>
      <c r="VGS255" s="11"/>
      <c r="VGT255" s="11"/>
      <c r="VGU255" s="11"/>
      <c r="VGV255" s="11"/>
      <c r="VGW255" s="11"/>
      <c r="VGX255" s="11"/>
      <c r="VGY255" s="11"/>
      <c r="VGZ255" s="11"/>
      <c r="VHA255" s="11"/>
      <c r="VHB255" s="11"/>
      <c r="VHC255" s="11"/>
      <c r="VHD255" s="11"/>
      <c r="VHE255" s="11"/>
      <c r="VHF255" s="11"/>
      <c r="VHG255" s="11"/>
      <c r="VHH255" s="11"/>
      <c r="VHI255" s="11"/>
      <c r="VHJ255" s="11"/>
      <c r="VHK255" s="11"/>
      <c r="VHL255" s="11"/>
      <c r="VHM255" s="11"/>
      <c r="VHN255" s="11"/>
      <c r="VHO255" s="11"/>
      <c r="VHP255" s="11"/>
      <c r="VHQ255" s="11"/>
      <c r="VHR255" s="11"/>
      <c r="VHS255" s="11"/>
      <c r="VHT255" s="11"/>
      <c r="VHU255" s="11"/>
      <c r="VHV255" s="11"/>
      <c r="VHW255" s="11"/>
      <c r="VHX255" s="11"/>
      <c r="VHY255" s="11"/>
      <c r="VHZ255" s="11"/>
      <c r="VIA255" s="11"/>
      <c r="VIB255" s="11"/>
      <c r="VIC255" s="11"/>
      <c r="VID255" s="11"/>
      <c r="VIE255" s="11"/>
      <c r="VIF255" s="11"/>
      <c r="VIG255" s="11"/>
      <c r="VIH255" s="11"/>
      <c r="VII255" s="11"/>
      <c r="VIJ255" s="11"/>
      <c r="VIK255" s="11"/>
      <c r="VIL255" s="11"/>
      <c r="VIM255" s="11"/>
      <c r="VIN255" s="11"/>
      <c r="VIO255" s="11"/>
      <c r="VIP255" s="11"/>
      <c r="VIQ255" s="11"/>
      <c r="VIR255" s="11"/>
      <c r="VIS255" s="11"/>
      <c r="VIT255" s="11"/>
      <c r="VIU255" s="11"/>
      <c r="VIV255" s="11"/>
      <c r="VIW255" s="11"/>
      <c r="VIX255" s="11"/>
      <c r="VIY255" s="11"/>
      <c r="VIZ255" s="11"/>
      <c r="VJA255" s="11"/>
      <c r="VJB255" s="11"/>
      <c r="VJC255" s="11"/>
      <c r="VJD255" s="11"/>
      <c r="VJE255" s="11"/>
      <c r="VJF255" s="11"/>
      <c r="VJG255" s="11"/>
      <c r="VJH255" s="11"/>
      <c r="VJI255" s="11"/>
      <c r="VJJ255" s="11"/>
      <c r="VJK255" s="11"/>
      <c r="VJL255" s="11"/>
      <c r="VJM255" s="11"/>
      <c r="VJN255" s="11"/>
      <c r="VJO255" s="11"/>
      <c r="VJP255" s="11"/>
      <c r="VJQ255" s="11"/>
      <c r="VJR255" s="11"/>
      <c r="VJS255" s="11"/>
      <c r="VJT255" s="11"/>
      <c r="VJU255" s="11"/>
      <c r="VJV255" s="11"/>
      <c r="VJW255" s="11"/>
      <c r="VJX255" s="11"/>
      <c r="VJY255" s="11"/>
      <c r="VJZ255" s="11"/>
      <c r="VKA255" s="11"/>
      <c r="VKB255" s="11"/>
      <c r="VKC255" s="11"/>
      <c r="VKD255" s="11"/>
      <c r="VKE255" s="11"/>
      <c r="VKF255" s="11"/>
      <c r="VKG255" s="11"/>
      <c r="VKH255" s="11"/>
      <c r="VKI255" s="11"/>
      <c r="VKJ255" s="11"/>
      <c r="VKK255" s="11"/>
      <c r="VKL255" s="11"/>
      <c r="VKM255" s="11"/>
      <c r="VKN255" s="11"/>
      <c r="VKO255" s="11"/>
      <c r="VKP255" s="11"/>
      <c r="VKQ255" s="11"/>
      <c r="VKR255" s="11"/>
      <c r="VKS255" s="11"/>
      <c r="VKT255" s="11"/>
      <c r="VKU255" s="11"/>
      <c r="VKV255" s="11"/>
      <c r="VKW255" s="11"/>
      <c r="VKX255" s="11"/>
      <c r="VKY255" s="11"/>
      <c r="VKZ255" s="11"/>
      <c r="VLA255" s="11"/>
      <c r="VLB255" s="11"/>
      <c r="VLC255" s="11"/>
      <c r="VLD255" s="11"/>
      <c r="VLE255" s="11"/>
      <c r="VLF255" s="11"/>
      <c r="VLG255" s="11"/>
      <c r="VLH255" s="11"/>
      <c r="VLI255" s="11"/>
      <c r="VLJ255" s="11"/>
      <c r="VLK255" s="11"/>
      <c r="VLL255" s="11"/>
      <c r="VLM255" s="11"/>
      <c r="VLN255" s="11"/>
      <c r="VLO255" s="11"/>
      <c r="VLP255" s="11"/>
      <c r="VLQ255" s="11"/>
      <c r="VLR255" s="11"/>
      <c r="VLS255" s="11"/>
      <c r="VLT255" s="11"/>
      <c r="VLU255" s="11"/>
      <c r="VLV255" s="11"/>
      <c r="VLW255" s="11"/>
      <c r="VLX255" s="11"/>
      <c r="VLY255" s="11"/>
      <c r="VLZ255" s="11"/>
      <c r="VMA255" s="11"/>
      <c r="VMB255" s="11"/>
      <c r="VMC255" s="11"/>
      <c r="VMD255" s="11"/>
      <c r="VME255" s="11"/>
      <c r="VMF255" s="11"/>
      <c r="VMG255" s="11"/>
      <c r="VMH255" s="11"/>
      <c r="VMI255" s="11"/>
      <c r="VMJ255" s="11"/>
      <c r="VMK255" s="11"/>
      <c r="VML255" s="11"/>
      <c r="VMM255" s="11"/>
      <c r="VMN255" s="11"/>
      <c r="VMO255" s="11"/>
      <c r="VMP255" s="11"/>
      <c r="VMQ255" s="11"/>
      <c r="VMR255" s="11"/>
      <c r="VMS255" s="11"/>
      <c r="VMT255" s="11"/>
      <c r="VMU255" s="11"/>
      <c r="VMV255" s="11"/>
      <c r="VMW255" s="11"/>
      <c r="VMX255" s="11"/>
      <c r="VMY255" s="11"/>
      <c r="VMZ255" s="11"/>
      <c r="VNA255" s="11"/>
      <c r="VNB255" s="11"/>
      <c r="VNC255" s="11"/>
      <c r="VND255" s="11"/>
      <c r="VNE255" s="11"/>
      <c r="VNF255" s="11"/>
      <c r="VNG255" s="11"/>
      <c r="VNH255" s="11"/>
      <c r="VNI255" s="11"/>
      <c r="VNJ255" s="11"/>
      <c r="VNK255" s="11"/>
      <c r="VNL255" s="11"/>
      <c r="VNM255" s="11"/>
      <c r="VNN255" s="11"/>
      <c r="VNO255" s="11"/>
      <c r="VNP255" s="11"/>
      <c r="VNQ255" s="11"/>
      <c r="VNR255" s="11"/>
      <c r="VNS255" s="11"/>
      <c r="VNT255" s="11"/>
      <c r="VNU255" s="11"/>
      <c r="VNV255" s="11"/>
      <c r="VNW255" s="11"/>
      <c r="VNX255" s="11"/>
      <c r="VNY255" s="11"/>
      <c r="VNZ255" s="11"/>
      <c r="VOA255" s="11"/>
      <c r="VOB255" s="11"/>
      <c r="VOC255" s="11"/>
      <c r="VOD255" s="11"/>
      <c r="VOE255" s="11"/>
      <c r="VOF255" s="11"/>
      <c r="VOG255" s="11"/>
      <c r="VOH255" s="11"/>
      <c r="VOI255" s="11"/>
      <c r="VOJ255" s="11"/>
      <c r="VOK255" s="11"/>
      <c r="VOL255" s="11"/>
      <c r="VOM255" s="11"/>
      <c r="VON255" s="11"/>
      <c r="VOO255" s="11"/>
      <c r="VOP255" s="11"/>
      <c r="VOQ255" s="11"/>
      <c r="VOR255" s="11"/>
      <c r="VOS255" s="11"/>
      <c r="VOT255" s="11"/>
      <c r="VOU255" s="11"/>
      <c r="VOV255" s="11"/>
      <c r="VOW255" s="11"/>
      <c r="VOX255" s="11"/>
      <c r="VOY255" s="11"/>
      <c r="VOZ255" s="11"/>
      <c r="VPA255" s="11"/>
      <c r="VPB255" s="11"/>
      <c r="VPC255" s="11"/>
      <c r="VPD255" s="11"/>
      <c r="VPE255" s="11"/>
      <c r="VPF255" s="11"/>
      <c r="VPG255" s="11"/>
      <c r="VPH255" s="11"/>
      <c r="VPI255" s="11"/>
      <c r="VPJ255" s="11"/>
      <c r="VPK255" s="11"/>
      <c r="VPL255" s="11"/>
      <c r="VPM255" s="11"/>
      <c r="VPN255" s="11"/>
      <c r="VPO255" s="11"/>
      <c r="VPP255" s="11"/>
      <c r="VPQ255" s="11"/>
      <c r="VPR255" s="11"/>
      <c r="VPS255" s="11"/>
      <c r="VPT255" s="11"/>
      <c r="VPU255" s="11"/>
      <c r="VPV255" s="11"/>
      <c r="VPW255" s="11"/>
      <c r="VPX255" s="11"/>
      <c r="VPY255" s="11"/>
      <c r="VPZ255" s="11"/>
      <c r="VQA255" s="11"/>
      <c r="VQB255" s="11"/>
      <c r="VQC255" s="11"/>
      <c r="VQD255" s="11"/>
      <c r="VQE255" s="11"/>
      <c r="VQF255" s="11"/>
      <c r="VQG255" s="11"/>
      <c r="VQH255" s="11"/>
      <c r="VQI255" s="11"/>
      <c r="VQJ255" s="11"/>
      <c r="VQK255" s="11"/>
      <c r="VQL255" s="11"/>
      <c r="VQM255" s="11"/>
      <c r="VQN255" s="11"/>
      <c r="VQO255" s="11"/>
      <c r="VQP255" s="11"/>
      <c r="VQQ255" s="11"/>
      <c r="VQR255" s="11"/>
      <c r="VQS255" s="11"/>
      <c r="VQT255" s="11"/>
      <c r="VQU255" s="11"/>
      <c r="VQV255" s="11"/>
      <c r="VQW255" s="11"/>
      <c r="VQX255" s="11"/>
      <c r="VQY255" s="11"/>
      <c r="VQZ255" s="11"/>
      <c r="VRA255" s="11"/>
      <c r="VRB255" s="11"/>
      <c r="VRC255" s="11"/>
      <c r="VRD255" s="11"/>
      <c r="VRE255" s="11"/>
      <c r="VRF255" s="11"/>
      <c r="VRG255" s="11"/>
      <c r="VRH255" s="11"/>
      <c r="VRI255" s="11"/>
      <c r="VRJ255" s="11"/>
      <c r="VRK255" s="11"/>
      <c r="VRL255" s="11"/>
      <c r="VRM255" s="11"/>
      <c r="VRN255" s="11"/>
      <c r="VRO255" s="11"/>
      <c r="VRP255" s="11"/>
      <c r="VRQ255" s="11"/>
      <c r="VRR255" s="11"/>
      <c r="VRS255" s="11"/>
      <c r="VRT255" s="11"/>
      <c r="VRU255" s="11"/>
      <c r="VRV255" s="11"/>
      <c r="VRW255" s="11"/>
      <c r="VRX255" s="11"/>
      <c r="VRY255" s="11"/>
      <c r="VRZ255" s="11"/>
      <c r="VSA255" s="11"/>
      <c r="VSB255" s="11"/>
      <c r="VSC255" s="11"/>
      <c r="VSD255" s="11"/>
      <c r="VSE255" s="11"/>
      <c r="VSF255" s="11"/>
      <c r="VSG255" s="11"/>
      <c r="VSH255" s="11"/>
      <c r="VSI255" s="11"/>
      <c r="VSJ255" s="11"/>
      <c r="VSK255" s="11"/>
      <c r="VSL255" s="11"/>
      <c r="VSM255" s="11"/>
      <c r="VSN255" s="11"/>
      <c r="VSO255" s="11"/>
      <c r="VSP255" s="11"/>
      <c r="VSQ255" s="11"/>
      <c r="VSR255" s="11"/>
      <c r="VSS255" s="11"/>
      <c r="VST255" s="11"/>
      <c r="VSU255" s="11"/>
      <c r="VSV255" s="11"/>
      <c r="VSW255" s="11"/>
      <c r="VSX255" s="11"/>
      <c r="VSY255" s="11"/>
      <c r="VSZ255" s="11"/>
      <c r="VTA255" s="11"/>
      <c r="VTB255" s="11"/>
      <c r="VTC255" s="11"/>
      <c r="VTD255" s="11"/>
      <c r="VTE255" s="11"/>
      <c r="VTF255" s="11"/>
      <c r="VTG255" s="11"/>
      <c r="VTH255" s="11"/>
      <c r="VTI255" s="11"/>
      <c r="VTJ255" s="11"/>
      <c r="VTK255" s="11"/>
      <c r="VTL255" s="11"/>
      <c r="VTM255" s="11"/>
      <c r="VTN255" s="11"/>
      <c r="VTO255" s="11"/>
      <c r="VTP255" s="11"/>
      <c r="VTQ255" s="11"/>
      <c r="VTR255" s="11"/>
      <c r="VTS255" s="11"/>
      <c r="VTT255" s="11"/>
      <c r="VTU255" s="11"/>
      <c r="VTV255" s="11"/>
      <c r="VTW255" s="11"/>
      <c r="VTX255" s="11"/>
      <c r="VTY255" s="11"/>
      <c r="VTZ255" s="11"/>
      <c r="VUA255" s="11"/>
      <c r="VUB255" s="11"/>
      <c r="VUC255" s="11"/>
      <c r="VUD255" s="11"/>
      <c r="VUE255" s="11"/>
      <c r="VUF255" s="11"/>
      <c r="VUG255" s="11"/>
      <c r="VUH255" s="11"/>
      <c r="VUI255" s="11"/>
      <c r="VUJ255" s="11"/>
      <c r="VUK255" s="11"/>
      <c r="VUL255" s="11"/>
      <c r="VUM255" s="11"/>
      <c r="VUN255" s="11"/>
      <c r="VUO255" s="11"/>
      <c r="VUP255" s="11"/>
      <c r="VUQ255" s="11"/>
      <c r="VUR255" s="11"/>
      <c r="VUS255" s="11"/>
      <c r="VUT255" s="11"/>
      <c r="VUU255" s="11"/>
      <c r="VUV255" s="11"/>
      <c r="VUW255" s="11"/>
      <c r="VUX255" s="11"/>
      <c r="VUY255" s="11"/>
      <c r="VUZ255" s="11"/>
      <c r="VVA255" s="11"/>
      <c r="VVB255" s="11"/>
      <c r="VVC255" s="11"/>
      <c r="VVD255" s="11"/>
      <c r="VVE255" s="11"/>
      <c r="VVF255" s="11"/>
      <c r="VVG255" s="11"/>
      <c r="VVH255" s="11"/>
      <c r="VVI255" s="11"/>
      <c r="VVJ255" s="11"/>
      <c r="VVK255" s="11"/>
      <c r="VVL255" s="11"/>
      <c r="VVM255" s="11"/>
      <c r="VVN255" s="11"/>
      <c r="VVO255" s="11"/>
      <c r="VVP255" s="11"/>
      <c r="VVQ255" s="11"/>
      <c r="VVR255" s="11"/>
      <c r="VVS255" s="11"/>
      <c r="VVT255" s="11"/>
      <c r="VVU255" s="11"/>
      <c r="VVV255" s="11"/>
      <c r="VVW255" s="11"/>
      <c r="VVX255" s="11"/>
      <c r="VVY255" s="11"/>
      <c r="VVZ255" s="11"/>
      <c r="VWA255" s="11"/>
      <c r="VWB255" s="11"/>
      <c r="VWC255" s="11"/>
      <c r="VWD255" s="11"/>
      <c r="VWE255" s="11"/>
      <c r="VWF255" s="11"/>
      <c r="VWG255" s="11"/>
      <c r="VWH255" s="11"/>
      <c r="VWI255" s="11"/>
      <c r="VWJ255" s="11"/>
      <c r="VWK255" s="11"/>
      <c r="VWL255" s="11"/>
      <c r="VWM255" s="11"/>
      <c r="VWN255" s="11"/>
      <c r="VWO255" s="11"/>
      <c r="VWP255" s="11"/>
      <c r="VWQ255" s="11"/>
      <c r="VWR255" s="11"/>
      <c r="VWS255" s="11"/>
      <c r="VWT255" s="11"/>
      <c r="VWU255" s="11"/>
      <c r="VWV255" s="11"/>
      <c r="VWW255" s="11"/>
      <c r="VWX255" s="11"/>
      <c r="VWY255" s="11"/>
      <c r="VWZ255" s="11"/>
      <c r="VXA255" s="11"/>
      <c r="VXB255" s="11"/>
      <c r="VXC255" s="11"/>
      <c r="VXD255" s="11"/>
      <c r="VXE255" s="11"/>
      <c r="VXF255" s="11"/>
      <c r="VXG255" s="11"/>
      <c r="VXH255" s="11"/>
      <c r="VXI255" s="11"/>
      <c r="VXJ255" s="11"/>
      <c r="VXK255" s="11"/>
      <c r="VXL255" s="11"/>
      <c r="VXM255" s="11"/>
      <c r="VXN255" s="11"/>
      <c r="VXO255" s="11"/>
      <c r="VXP255" s="11"/>
      <c r="VXQ255" s="11"/>
      <c r="VXR255" s="11"/>
      <c r="VXS255" s="11"/>
      <c r="VXT255" s="11"/>
      <c r="VXU255" s="11"/>
      <c r="VXV255" s="11"/>
      <c r="VXW255" s="11"/>
      <c r="VXX255" s="11"/>
      <c r="VXY255" s="11"/>
      <c r="VXZ255" s="11"/>
      <c r="VYA255" s="11"/>
      <c r="VYB255" s="11"/>
      <c r="VYC255" s="11"/>
      <c r="VYD255" s="11"/>
      <c r="VYE255" s="11"/>
      <c r="VYF255" s="11"/>
      <c r="VYG255" s="11"/>
      <c r="VYH255" s="11"/>
      <c r="VYI255" s="11"/>
      <c r="VYJ255" s="11"/>
      <c r="VYK255" s="11"/>
      <c r="VYL255" s="11"/>
      <c r="VYM255" s="11"/>
      <c r="VYN255" s="11"/>
      <c r="VYO255" s="11"/>
      <c r="VYP255" s="11"/>
      <c r="VYQ255" s="11"/>
      <c r="VYR255" s="11"/>
      <c r="VYS255" s="11"/>
      <c r="VYT255" s="11"/>
      <c r="VYU255" s="11"/>
      <c r="VYV255" s="11"/>
      <c r="VYW255" s="11"/>
      <c r="VYX255" s="11"/>
      <c r="VYY255" s="11"/>
      <c r="VYZ255" s="11"/>
      <c r="VZA255" s="11"/>
      <c r="VZB255" s="11"/>
      <c r="VZC255" s="11"/>
      <c r="VZD255" s="11"/>
      <c r="VZE255" s="11"/>
      <c r="VZF255" s="11"/>
      <c r="VZG255" s="11"/>
      <c r="VZH255" s="11"/>
      <c r="VZI255" s="11"/>
      <c r="VZJ255" s="11"/>
      <c r="VZK255" s="11"/>
      <c r="VZL255" s="11"/>
      <c r="VZM255" s="11"/>
      <c r="VZN255" s="11"/>
      <c r="VZO255" s="11"/>
      <c r="VZP255" s="11"/>
      <c r="VZQ255" s="11"/>
      <c r="VZR255" s="11"/>
      <c r="VZS255" s="11"/>
      <c r="VZT255" s="11"/>
      <c r="VZU255" s="11"/>
      <c r="VZV255" s="11"/>
      <c r="VZW255" s="11"/>
      <c r="VZX255" s="11"/>
      <c r="VZY255" s="11"/>
      <c r="VZZ255" s="11"/>
      <c r="WAA255" s="11"/>
      <c r="WAB255" s="11"/>
      <c r="WAC255" s="11"/>
      <c r="WAD255" s="11"/>
      <c r="WAE255" s="11"/>
      <c r="WAF255" s="11"/>
      <c r="WAG255" s="11"/>
      <c r="WAH255" s="11"/>
      <c r="WAI255" s="11"/>
      <c r="WAJ255" s="11"/>
      <c r="WAK255" s="11"/>
      <c r="WAL255" s="11"/>
      <c r="WAM255" s="11"/>
      <c r="WAN255" s="11"/>
      <c r="WAO255" s="11"/>
      <c r="WAP255" s="11"/>
      <c r="WAQ255" s="11"/>
      <c r="WAR255" s="11"/>
      <c r="WAS255" s="11"/>
      <c r="WAT255" s="11"/>
      <c r="WAU255" s="11"/>
      <c r="WAV255" s="11"/>
      <c r="WAW255" s="11"/>
      <c r="WAX255" s="11"/>
      <c r="WAY255" s="11"/>
      <c r="WAZ255" s="11"/>
      <c r="WBA255" s="11"/>
      <c r="WBB255" s="11"/>
      <c r="WBC255" s="11"/>
      <c r="WBD255" s="11"/>
      <c r="WBE255" s="11"/>
      <c r="WBF255" s="11"/>
      <c r="WBG255" s="11"/>
      <c r="WBH255" s="11"/>
      <c r="WBI255" s="11"/>
      <c r="WBJ255" s="11"/>
      <c r="WBK255" s="11"/>
      <c r="WBL255" s="11"/>
      <c r="WBM255" s="11"/>
      <c r="WBN255" s="11"/>
      <c r="WBO255" s="11"/>
      <c r="WBP255" s="11"/>
      <c r="WBQ255" s="11"/>
      <c r="WBR255" s="11"/>
      <c r="WBS255" s="11"/>
      <c r="WBT255" s="11"/>
      <c r="WBU255" s="11"/>
      <c r="WBV255" s="11"/>
      <c r="WBW255" s="11"/>
      <c r="WBX255" s="11"/>
      <c r="WBY255" s="11"/>
      <c r="WBZ255" s="11"/>
      <c r="WCA255" s="11"/>
      <c r="WCB255" s="11"/>
      <c r="WCC255" s="11"/>
      <c r="WCD255" s="11"/>
      <c r="WCE255" s="11"/>
      <c r="WCF255" s="11"/>
      <c r="WCG255" s="11"/>
      <c r="WCH255" s="11"/>
      <c r="WCI255" s="11"/>
      <c r="WCJ255" s="11"/>
      <c r="WCK255" s="11"/>
      <c r="WCL255" s="11"/>
      <c r="WCM255" s="11"/>
      <c r="WCN255" s="11"/>
      <c r="WCO255" s="11"/>
      <c r="WCP255" s="11"/>
      <c r="WCQ255" s="11"/>
      <c r="WCR255" s="11"/>
      <c r="WCS255" s="11"/>
      <c r="WCT255" s="11"/>
      <c r="WCU255" s="11"/>
      <c r="WCV255" s="11"/>
      <c r="WCW255" s="11"/>
      <c r="WCX255" s="11"/>
      <c r="WCY255" s="11"/>
      <c r="WCZ255" s="11"/>
      <c r="WDA255" s="11"/>
      <c r="WDB255" s="11"/>
      <c r="WDC255" s="11"/>
      <c r="WDD255" s="11"/>
      <c r="WDE255" s="11"/>
      <c r="WDF255" s="11"/>
      <c r="WDG255" s="11"/>
      <c r="WDH255" s="11"/>
      <c r="WDI255" s="11"/>
      <c r="WDJ255" s="11"/>
      <c r="WDK255" s="11"/>
      <c r="WDL255" s="11"/>
      <c r="WDM255" s="11"/>
      <c r="WDN255" s="11"/>
      <c r="WDO255" s="11"/>
      <c r="WDP255" s="11"/>
      <c r="WDQ255" s="11"/>
      <c r="WDR255" s="11"/>
      <c r="WDS255" s="11"/>
      <c r="WDT255" s="11"/>
      <c r="WDU255" s="11"/>
      <c r="WDV255" s="11"/>
      <c r="WDW255" s="11"/>
      <c r="WDX255" s="11"/>
      <c r="WDY255" s="11"/>
      <c r="WDZ255" s="11"/>
      <c r="WEA255" s="11"/>
      <c r="WEB255" s="11"/>
      <c r="WEC255" s="11"/>
      <c r="WED255" s="11"/>
      <c r="WEE255" s="11"/>
      <c r="WEF255" s="11"/>
      <c r="WEG255" s="11"/>
      <c r="WEH255" s="11"/>
      <c r="WEI255" s="11"/>
      <c r="WEJ255" s="11"/>
      <c r="WEK255" s="11"/>
      <c r="WEL255" s="11"/>
      <c r="WEM255" s="11"/>
      <c r="WEN255" s="11"/>
      <c r="WEO255" s="11"/>
      <c r="WEP255" s="11"/>
      <c r="WEQ255" s="11"/>
      <c r="WER255" s="11"/>
      <c r="WES255" s="11"/>
      <c r="WET255" s="11"/>
      <c r="WEU255" s="11"/>
      <c r="WEV255" s="11"/>
      <c r="WEW255" s="11"/>
      <c r="WEX255" s="11"/>
      <c r="WEY255" s="11"/>
      <c r="WEZ255" s="11"/>
      <c r="WFA255" s="11"/>
      <c r="WFB255" s="11"/>
      <c r="WFC255" s="11"/>
      <c r="WFD255" s="11"/>
      <c r="WFE255" s="11"/>
      <c r="WFF255" s="11"/>
      <c r="WFG255" s="11"/>
      <c r="WFH255" s="11"/>
      <c r="WFI255" s="11"/>
      <c r="WFJ255" s="11"/>
      <c r="WFK255" s="11"/>
      <c r="WFL255" s="11"/>
      <c r="WFM255" s="11"/>
      <c r="WFN255" s="11"/>
      <c r="WFO255" s="11"/>
      <c r="WFP255" s="11"/>
      <c r="WFQ255" s="11"/>
      <c r="WFR255" s="11"/>
      <c r="WFS255" s="11"/>
      <c r="WFT255" s="11"/>
      <c r="WFU255" s="11"/>
      <c r="WFV255" s="11"/>
      <c r="WFW255" s="11"/>
      <c r="WFX255" s="11"/>
      <c r="WFY255" s="11"/>
      <c r="WFZ255" s="11"/>
      <c r="WGA255" s="11"/>
      <c r="WGB255" s="11"/>
      <c r="WGC255" s="11"/>
      <c r="WGD255" s="11"/>
      <c r="WGE255" s="11"/>
      <c r="WGF255" s="11"/>
      <c r="WGG255" s="11"/>
      <c r="WGH255" s="11"/>
      <c r="WGI255" s="11"/>
      <c r="WGJ255" s="11"/>
      <c r="WGK255" s="11"/>
      <c r="WGL255" s="11"/>
      <c r="WGM255" s="11"/>
      <c r="WGN255" s="11"/>
      <c r="WGO255" s="11"/>
      <c r="WGP255" s="11"/>
      <c r="WGQ255" s="11"/>
      <c r="WGR255" s="11"/>
      <c r="WGS255" s="11"/>
      <c r="WGT255" s="11"/>
      <c r="WGU255" s="11"/>
      <c r="WGV255" s="11"/>
      <c r="WGW255" s="11"/>
      <c r="WGX255" s="11"/>
      <c r="WGY255" s="11"/>
      <c r="WGZ255" s="11"/>
      <c r="WHA255" s="11"/>
      <c r="WHB255" s="11"/>
      <c r="WHC255" s="11"/>
      <c r="WHD255" s="11"/>
      <c r="WHE255" s="11"/>
      <c r="WHF255" s="11"/>
      <c r="WHG255" s="11"/>
      <c r="WHH255" s="11"/>
      <c r="WHI255" s="11"/>
      <c r="WHJ255" s="11"/>
      <c r="WHK255" s="11"/>
      <c r="WHL255" s="11"/>
      <c r="WHM255" s="11"/>
      <c r="WHN255" s="11"/>
      <c r="WHO255" s="11"/>
      <c r="WHP255" s="11"/>
      <c r="WHQ255" s="11"/>
      <c r="WHR255" s="11"/>
      <c r="WHS255" s="11"/>
      <c r="WHT255" s="11"/>
      <c r="WHU255" s="11"/>
      <c r="WHV255" s="11"/>
      <c r="WHW255" s="11"/>
      <c r="WHX255" s="11"/>
      <c r="WHY255" s="11"/>
      <c r="WHZ255" s="11"/>
      <c r="WIA255" s="11"/>
      <c r="WIB255" s="11"/>
      <c r="WIC255" s="11"/>
      <c r="WID255" s="11"/>
      <c r="WIE255" s="11"/>
      <c r="WIF255" s="11"/>
      <c r="WIG255" s="11"/>
      <c r="WIH255" s="11"/>
      <c r="WII255" s="11"/>
      <c r="WIJ255" s="11"/>
      <c r="WIK255" s="11"/>
      <c r="WIL255" s="11"/>
      <c r="WIM255" s="11"/>
      <c r="WIN255" s="11"/>
      <c r="WIO255" s="11"/>
      <c r="WIP255" s="11"/>
      <c r="WIQ255" s="11"/>
      <c r="WIR255" s="11"/>
      <c r="WIS255" s="11"/>
      <c r="WIT255" s="11"/>
      <c r="WIU255" s="11"/>
      <c r="WIV255" s="11"/>
      <c r="WIW255" s="11"/>
      <c r="WIX255" s="11"/>
      <c r="WIY255" s="11"/>
      <c r="WIZ255" s="11"/>
      <c r="WJA255" s="11"/>
      <c r="WJB255" s="11"/>
      <c r="WJC255" s="11"/>
      <c r="WJD255" s="11"/>
      <c r="WJE255" s="11"/>
      <c r="WJF255" s="11"/>
      <c r="WJG255" s="11"/>
      <c r="WJH255" s="11"/>
      <c r="WJI255" s="11"/>
      <c r="WJJ255" s="11"/>
      <c r="WJK255" s="11"/>
      <c r="WJL255" s="11"/>
      <c r="WJM255" s="11"/>
      <c r="WJN255" s="11"/>
      <c r="WJO255" s="11"/>
      <c r="WJP255" s="11"/>
      <c r="WJQ255" s="11"/>
      <c r="WJR255" s="11"/>
      <c r="WJS255" s="11"/>
      <c r="WJT255" s="11"/>
      <c r="WJU255" s="11"/>
      <c r="WJV255" s="11"/>
      <c r="WJW255" s="11"/>
      <c r="WJX255" s="11"/>
      <c r="WJY255" s="11"/>
      <c r="WJZ255" s="11"/>
      <c r="WKA255" s="11"/>
      <c r="WKB255" s="11"/>
      <c r="WKC255" s="11"/>
      <c r="WKD255" s="11"/>
      <c r="WKE255" s="11"/>
      <c r="WKF255" s="11"/>
      <c r="WKG255" s="11"/>
      <c r="WKH255" s="11"/>
      <c r="WKI255" s="11"/>
      <c r="WKJ255" s="11"/>
      <c r="WKK255" s="11"/>
      <c r="WKL255" s="11"/>
      <c r="WKM255" s="11"/>
      <c r="WKN255" s="11"/>
      <c r="WKO255" s="11"/>
      <c r="WKP255" s="11"/>
      <c r="WKQ255" s="11"/>
      <c r="WKR255" s="11"/>
      <c r="WKS255" s="11"/>
      <c r="WKT255" s="11"/>
      <c r="WKU255" s="11"/>
      <c r="WKV255" s="11"/>
      <c r="WKW255" s="11"/>
      <c r="WKX255" s="11"/>
      <c r="WKY255" s="11"/>
      <c r="WKZ255" s="11"/>
      <c r="WLA255" s="11"/>
      <c r="WLB255" s="11"/>
      <c r="WLC255" s="11"/>
      <c r="WLD255" s="11"/>
      <c r="WLE255" s="11"/>
      <c r="WLF255" s="11"/>
      <c r="WLG255" s="11"/>
      <c r="WLH255" s="11"/>
      <c r="WLI255" s="11"/>
      <c r="WLJ255" s="11"/>
      <c r="WLK255" s="11"/>
      <c r="WLL255" s="11"/>
      <c r="WLM255" s="11"/>
      <c r="WLN255" s="11"/>
      <c r="WLO255" s="11"/>
      <c r="WLP255" s="11"/>
      <c r="WLQ255" s="11"/>
      <c r="WLR255" s="11"/>
      <c r="WLS255" s="11"/>
      <c r="WLT255" s="11"/>
      <c r="WLU255" s="11"/>
      <c r="WLV255" s="11"/>
      <c r="WLW255" s="11"/>
      <c r="WLX255" s="11"/>
      <c r="WLY255" s="11"/>
      <c r="WLZ255" s="11"/>
      <c r="WMA255" s="11"/>
      <c r="WMB255" s="11"/>
      <c r="WMC255" s="11"/>
      <c r="WMD255" s="11"/>
      <c r="WME255" s="11"/>
      <c r="WMF255" s="11"/>
      <c r="WMG255" s="11"/>
      <c r="WMH255" s="11"/>
      <c r="WMI255" s="11"/>
      <c r="WMJ255" s="11"/>
      <c r="WMK255" s="11"/>
      <c r="WML255" s="11"/>
      <c r="WMM255" s="11"/>
      <c r="WMN255" s="11"/>
      <c r="WMO255" s="11"/>
      <c r="WMP255" s="11"/>
      <c r="WMQ255" s="11"/>
      <c r="WMR255" s="11"/>
      <c r="WMS255" s="11"/>
      <c r="WMT255" s="11"/>
      <c r="WMU255" s="11"/>
      <c r="WMV255" s="11"/>
      <c r="WMW255" s="11"/>
      <c r="WMX255" s="11"/>
      <c r="WMY255" s="11"/>
      <c r="WMZ255" s="11"/>
      <c r="WNA255" s="11"/>
      <c r="WNB255" s="11"/>
      <c r="WNC255" s="11"/>
      <c r="WND255" s="11"/>
      <c r="WNE255" s="11"/>
      <c r="WNF255" s="11"/>
      <c r="WNG255" s="11"/>
      <c r="WNH255" s="11"/>
      <c r="WNI255" s="11"/>
      <c r="WNJ255" s="11"/>
      <c r="WNK255" s="11"/>
      <c r="WNL255" s="11"/>
      <c r="WNM255" s="11"/>
      <c r="WNN255" s="11"/>
      <c r="WNO255" s="11"/>
      <c r="WNP255" s="11"/>
      <c r="WNQ255" s="11"/>
      <c r="WNR255" s="11"/>
      <c r="WNS255" s="11"/>
      <c r="WNT255" s="11"/>
      <c r="WNU255" s="11"/>
      <c r="WNV255" s="11"/>
      <c r="WNW255" s="11"/>
      <c r="WNX255" s="11"/>
      <c r="WNY255" s="11"/>
      <c r="WNZ255" s="11"/>
      <c r="WOA255" s="11"/>
      <c r="WOB255" s="11"/>
      <c r="WOC255" s="11"/>
      <c r="WOD255" s="11"/>
      <c r="WOE255" s="11"/>
      <c r="WOF255" s="11"/>
      <c r="WOG255" s="11"/>
      <c r="WOH255" s="11"/>
      <c r="WOI255" s="11"/>
      <c r="WOJ255" s="11"/>
      <c r="WOK255" s="11"/>
      <c r="WOL255" s="11"/>
      <c r="WOM255" s="11"/>
      <c r="WON255" s="11"/>
      <c r="WOO255" s="11"/>
      <c r="WOP255" s="11"/>
      <c r="WOQ255" s="11"/>
      <c r="WOR255" s="11"/>
      <c r="WOS255" s="11"/>
      <c r="WOT255" s="11"/>
      <c r="WOU255" s="11"/>
      <c r="WOV255" s="11"/>
      <c r="WOW255" s="11"/>
      <c r="WOX255" s="11"/>
      <c r="WOY255" s="11"/>
      <c r="WOZ255" s="11"/>
      <c r="WPA255" s="11"/>
      <c r="WPB255" s="11"/>
      <c r="WPC255" s="11"/>
      <c r="WPD255" s="11"/>
      <c r="WPE255" s="11"/>
      <c r="WPF255" s="11"/>
      <c r="WPG255" s="11"/>
      <c r="WPH255" s="11"/>
      <c r="WPI255" s="11"/>
      <c r="WPJ255" s="11"/>
      <c r="WPK255" s="11"/>
      <c r="WPL255" s="11"/>
      <c r="WPM255" s="11"/>
      <c r="WPN255" s="11"/>
      <c r="WPO255" s="11"/>
      <c r="WPP255" s="11"/>
      <c r="WPQ255" s="11"/>
      <c r="WPR255" s="11"/>
      <c r="WPS255" s="11"/>
      <c r="WPT255" s="11"/>
      <c r="WPU255" s="11"/>
      <c r="WPV255" s="11"/>
      <c r="WPW255" s="11"/>
      <c r="WPX255" s="11"/>
      <c r="WPY255" s="11"/>
      <c r="WPZ255" s="11"/>
      <c r="WQA255" s="11"/>
      <c r="WQB255" s="11"/>
      <c r="WQC255" s="11"/>
      <c r="WQD255" s="11"/>
      <c r="WQE255" s="11"/>
      <c r="WQF255" s="11"/>
      <c r="WQG255" s="11"/>
      <c r="WQH255" s="11"/>
      <c r="WQI255" s="11"/>
      <c r="WQJ255" s="11"/>
      <c r="WQK255" s="11"/>
      <c r="WQL255" s="11"/>
      <c r="WQM255" s="11"/>
      <c r="WQN255" s="11"/>
      <c r="WQO255" s="11"/>
      <c r="WQP255" s="11"/>
      <c r="WQQ255" s="11"/>
      <c r="WQR255" s="11"/>
      <c r="WQS255" s="11"/>
      <c r="WQT255" s="11"/>
      <c r="WQU255" s="11"/>
      <c r="WQV255" s="11"/>
      <c r="WQW255" s="11"/>
      <c r="WQX255" s="11"/>
      <c r="WQY255" s="11"/>
      <c r="WQZ255" s="11"/>
      <c r="WRA255" s="11"/>
      <c r="WRB255" s="11"/>
      <c r="WRC255" s="11"/>
      <c r="WRD255" s="11"/>
      <c r="WRE255" s="11"/>
      <c r="WRF255" s="11"/>
      <c r="WRG255" s="11"/>
      <c r="WRH255" s="11"/>
      <c r="WRI255" s="11"/>
      <c r="WRJ255" s="11"/>
      <c r="WRK255" s="11"/>
      <c r="WRL255" s="11"/>
      <c r="WRM255" s="11"/>
      <c r="WRN255" s="11"/>
      <c r="WRO255" s="11"/>
      <c r="WRP255" s="11"/>
      <c r="WRQ255" s="11"/>
      <c r="WRR255" s="11"/>
      <c r="WRS255" s="11"/>
      <c r="WRT255" s="11"/>
      <c r="WRU255" s="11"/>
      <c r="WRV255" s="11"/>
      <c r="WRW255" s="11"/>
      <c r="WRX255" s="11"/>
      <c r="WRY255" s="11"/>
      <c r="WRZ255" s="11"/>
      <c r="WSA255" s="11"/>
      <c r="WSB255" s="11"/>
      <c r="WSC255" s="11"/>
      <c r="WSD255" s="11"/>
      <c r="WSE255" s="11"/>
      <c r="WSF255" s="11"/>
      <c r="WSG255" s="11"/>
      <c r="WSH255" s="11"/>
      <c r="WSI255" s="11"/>
      <c r="WSJ255" s="11"/>
      <c r="WSK255" s="11"/>
      <c r="WSL255" s="11"/>
      <c r="WSM255" s="11"/>
      <c r="WSN255" s="11"/>
      <c r="WSO255" s="11"/>
      <c r="WSP255" s="11"/>
      <c r="WSQ255" s="11"/>
      <c r="WSR255" s="11"/>
      <c r="WSS255" s="11"/>
      <c r="WST255" s="11"/>
      <c r="WSU255" s="11"/>
      <c r="WSV255" s="11"/>
      <c r="WSW255" s="11"/>
      <c r="WSX255" s="11"/>
      <c r="WSY255" s="11"/>
      <c r="WSZ255" s="11"/>
      <c r="WTA255" s="11"/>
      <c r="WTB255" s="11"/>
      <c r="WTC255" s="11"/>
      <c r="WTD255" s="11"/>
      <c r="WTE255" s="11"/>
      <c r="WTF255" s="11"/>
      <c r="WTG255" s="11"/>
      <c r="WTH255" s="11"/>
      <c r="WTI255" s="11"/>
      <c r="WTJ255" s="11"/>
      <c r="WTK255" s="11"/>
      <c r="WTL255" s="11"/>
      <c r="WTM255" s="11"/>
      <c r="WTN255" s="11"/>
      <c r="WTO255" s="11"/>
      <c r="WTP255" s="11"/>
      <c r="WTQ255" s="11"/>
      <c r="WTR255" s="11"/>
      <c r="WTS255" s="11"/>
      <c r="WTT255" s="11"/>
      <c r="WTU255" s="11"/>
      <c r="WTV255" s="11"/>
      <c r="WTW255" s="11"/>
      <c r="WTX255" s="11"/>
      <c r="WTY255" s="11"/>
      <c r="WTZ255" s="11"/>
      <c r="WUA255" s="11"/>
      <c r="WUB255" s="11"/>
      <c r="WUC255" s="11"/>
      <c r="WUD255" s="11"/>
      <c r="WUE255" s="11"/>
      <c r="WUF255" s="11"/>
      <c r="WUG255" s="11"/>
      <c r="WUH255" s="11"/>
      <c r="WUI255" s="11"/>
      <c r="WUJ255" s="11"/>
      <c r="WUK255" s="11"/>
      <c r="WUL255" s="11"/>
      <c r="WUM255" s="11"/>
      <c r="WUN255" s="11"/>
      <c r="WUO255" s="11"/>
      <c r="WUP255" s="11"/>
      <c r="WUQ255" s="11"/>
      <c r="WUR255" s="11"/>
      <c r="WUS255" s="11"/>
      <c r="WUT255" s="11"/>
      <c r="WUU255" s="11"/>
      <c r="WUV255" s="11"/>
      <c r="WUW255" s="11"/>
      <c r="WUX255" s="11"/>
      <c r="WUY255" s="11"/>
      <c r="WUZ255" s="11"/>
      <c r="WVA255" s="11"/>
      <c r="WVB255" s="11"/>
      <c r="WVC255" s="11"/>
      <c r="WVD255" s="11"/>
      <c r="WVE255" s="11"/>
      <c r="WVF255" s="11"/>
      <c r="WVG255" s="11"/>
      <c r="WVH255" s="11"/>
      <c r="WVI255" s="11"/>
      <c r="WVJ255" s="11"/>
      <c r="WVK255" s="11"/>
      <c r="WVL255" s="11"/>
      <c r="WVM255" s="11"/>
      <c r="WVN255" s="11"/>
      <c r="WVO255" s="11"/>
      <c r="WVP255" s="11"/>
      <c r="WVQ255" s="11"/>
      <c r="WVR255" s="11"/>
      <c r="WVS255" s="11"/>
      <c r="WVT255" s="11"/>
      <c r="WVU255" s="11"/>
      <c r="WVV255" s="11"/>
      <c r="WVW255" s="11"/>
      <c r="WVX255" s="11"/>
      <c r="WVY255" s="11"/>
      <c r="WVZ255" s="11"/>
      <c r="WWA255" s="11"/>
      <c r="WWB255" s="11"/>
      <c r="WWC255" s="11"/>
      <c r="WWD255" s="11"/>
      <c r="WWE255" s="11"/>
      <c r="WWF255" s="11"/>
      <c r="WWG255" s="11"/>
      <c r="WWH255" s="11"/>
      <c r="WWI255" s="11"/>
      <c r="WWJ255" s="11"/>
      <c r="WWK255" s="11"/>
      <c r="WWL255" s="11"/>
      <c r="WWM255" s="11"/>
      <c r="WWN255" s="11"/>
      <c r="WWO255" s="11"/>
      <c r="WWP255" s="11"/>
      <c r="WWQ255" s="11"/>
      <c r="WWR255" s="11"/>
      <c r="WWS255" s="11"/>
      <c r="WWT255" s="11"/>
      <c r="WWU255" s="11"/>
      <c r="WWV255" s="11"/>
      <c r="WWW255" s="11"/>
      <c r="WWX255" s="11"/>
      <c r="WWY255" s="11"/>
      <c r="WWZ255" s="11"/>
      <c r="WXA255" s="11"/>
      <c r="WXB255" s="11"/>
      <c r="WXC255" s="11"/>
      <c r="WXD255" s="11"/>
      <c r="WXE255" s="11"/>
      <c r="WXF255" s="11"/>
      <c r="WXG255" s="11"/>
      <c r="WXH255" s="11"/>
      <c r="WXI255" s="11"/>
      <c r="WXJ255" s="11"/>
      <c r="WXK255" s="11"/>
      <c r="WXL255" s="11"/>
      <c r="WXM255" s="11"/>
      <c r="WXN255" s="11"/>
      <c r="WXO255" s="11"/>
      <c r="WXP255" s="11"/>
      <c r="WXQ255" s="11"/>
      <c r="WXR255" s="11"/>
      <c r="WXS255" s="11"/>
      <c r="WXT255" s="11"/>
      <c r="WXU255" s="11"/>
      <c r="WXV255" s="11"/>
      <c r="WXW255" s="11"/>
      <c r="WXX255" s="11"/>
      <c r="WXY255" s="11"/>
      <c r="WXZ255" s="11"/>
      <c r="WYA255" s="11"/>
      <c r="WYB255" s="11"/>
      <c r="WYC255" s="11"/>
      <c r="WYD255" s="11"/>
      <c r="WYE255" s="11"/>
      <c r="WYF255" s="11"/>
      <c r="WYG255" s="11"/>
      <c r="WYH255" s="11"/>
      <c r="WYI255" s="11"/>
      <c r="WYJ255" s="11"/>
      <c r="WYK255" s="11"/>
      <c r="WYL255" s="11"/>
      <c r="WYM255" s="11"/>
      <c r="WYN255" s="11"/>
      <c r="WYO255" s="11"/>
      <c r="WYP255" s="11"/>
      <c r="WYQ255" s="11"/>
      <c r="WYR255" s="11"/>
      <c r="WYS255" s="11"/>
      <c r="WYT255" s="11"/>
      <c r="WYU255" s="11"/>
      <c r="WYV255" s="11"/>
      <c r="WYW255" s="11"/>
      <c r="WYX255" s="11"/>
      <c r="WYY255" s="11"/>
      <c r="WYZ255" s="11"/>
      <c r="WZA255" s="11"/>
      <c r="WZB255" s="11"/>
      <c r="WZC255" s="11"/>
      <c r="WZD255" s="11"/>
      <c r="WZE255" s="11"/>
      <c r="WZF255" s="11"/>
      <c r="WZG255" s="11"/>
      <c r="WZH255" s="11"/>
      <c r="WZI255" s="11"/>
      <c r="WZJ255" s="11"/>
      <c r="WZK255" s="11"/>
      <c r="WZL255" s="11"/>
      <c r="WZM255" s="11"/>
      <c r="WZN255" s="11"/>
      <c r="WZO255" s="11"/>
      <c r="WZP255" s="11"/>
      <c r="WZQ255" s="11"/>
      <c r="WZR255" s="11"/>
      <c r="WZS255" s="11"/>
      <c r="WZT255" s="11"/>
      <c r="WZU255" s="11"/>
    </row>
    <row r="256" spans="1:16245" s="4" customFormat="1" ht="90" x14ac:dyDescent="0.25">
      <c r="A256" s="29"/>
      <c r="B256" s="36">
        <v>250</v>
      </c>
      <c r="C256" s="36" t="s">
        <v>622</v>
      </c>
      <c r="D256" s="36" t="s">
        <v>623</v>
      </c>
      <c r="E256" s="36">
        <v>60</v>
      </c>
      <c r="F256" s="39">
        <v>60</v>
      </c>
      <c r="G256" s="36" t="s">
        <v>633</v>
      </c>
      <c r="H256" s="36" t="s">
        <v>634</v>
      </c>
      <c r="I256" s="48" t="s">
        <v>24</v>
      </c>
      <c r="J256" s="51" t="s">
        <v>25</v>
      </c>
      <c r="K256" s="36" t="s">
        <v>642</v>
      </c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1:59" s="9" customFormat="1" ht="45" x14ac:dyDescent="0.25">
      <c r="A257" s="31"/>
      <c r="B257" s="36">
        <v>251</v>
      </c>
      <c r="C257" s="36" t="s">
        <v>624</v>
      </c>
      <c r="D257" s="36" t="s">
        <v>108</v>
      </c>
      <c r="E257" s="36">
        <v>300</v>
      </c>
      <c r="F257" s="39">
        <v>300</v>
      </c>
      <c r="G257" s="36" t="s">
        <v>633</v>
      </c>
      <c r="H257" s="36" t="s">
        <v>56</v>
      </c>
      <c r="I257" s="48" t="s">
        <v>24</v>
      </c>
      <c r="J257" s="46" t="s">
        <v>3</v>
      </c>
      <c r="K257" s="36" t="s">
        <v>644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1:59" s="9" customFormat="1" ht="90" x14ac:dyDescent="0.25">
      <c r="A258" s="31"/>
      <c r="B258" s="36">
        <v>252</v>
      </c>
      <c r="C258" s="36" t="s">
        <v>625</v>
      </c>
      <c r="D258" s="36" t="s">
        <v>626</v>
      </c>
      <c r="E258" s="36" t="s">
        <v>1206</v>
      </c>
      <c r="F258" s="39">
        <v>3875000</v>
      </c>
      <c r="G258" s="36" t="s">
        <v>635</v>
      </c>
      <c r="H258" s="36" t="s">
        <v>56</v>
      </c>
      <c r="I258" s="48" t="s">
        <v>24</v>
      </c>
      <c r="J258" s="51" t="s">
        <v>398</v>
      </c>
      <c r="K258" s="36" t="s">
        <v>599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1:59" ht="45.75" x14ac:dyDescent="0.25">
      <c r="A259" s="29"/>
      <c r="B259" s="36">
        <v>253</v>
      </c>
      <c r="C259" s="36" t="s">
        <v>627</v>
      </c>
      <c r="D259" s="36" t="s">
        <v>628</v>
      </c>
      <c r="E259" s="36">
        <v>30</v>
      </c>
      <c r="F259" s="39">
        <v>30</v>
      </c>
      <c r="G259" s="36" t="s">
        <v>635</v>
      </c>
      <c r="H259" s="36" t="s">
        <v>56</v>
      </c>
      <c r="I259" s="48" t="s">
        <v>24</v>
      </c>
      <c r="J259" s="46" t="s">
        <v>6</v>
      </c>
      <c r="K259" s="36" t="s">
        <v>741</v>
      </c>
    </row>
    <row r="260" spans="1:59" s="9" customFormat="1" ht="90" x14ac:dyDescent="0.25">
      <c r="A260" s="31"/>
      <c r="B260" s="36">
        <v>254</v>
      </c>
      <c r="C260" s="36" t="s">
        <v>629</v>
      </c>
      <c r="D260" s="36" t="s">
        <v>630</v>
      </c>
      <c r="E260" s="36" t="s">
        <v>1110</v>
      </c>
      <c r="F260" s="39">
        <v>20296</v>
      </c>
      <c r="G260" s="36" t="s">
        <v>635</v>
      </c>
      <c r="H260" s="36" t="s">
        <v>56</v>
      </c>
      <c r="I260" s="48" t="s">
        <v>24</v>
      </c>
      <c r="J260" s="51" t="s">
        <v>398</v>
      </c>
      <c r="K260" s="36" t="s">
        <v>749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1:59" ht="90" x14ac:dyDescent="0.25">
      <c r="A261" s="29"/>
      <c r="B261" s="36">
        <v>255</v>
      </c>
      <c r="C261" s="36" t="s">
        <v>648</v>
      </c>
      <c r="D261" s="36" t="s">
        <v>649</v>
      </c>
      <c r="E261" s="36" t="s">
        <v>1205</v>
      </c>
      <c r="F261" s="39">
        <v>1375000</v>
      </c>
      <c r="G261" s="36" t="s">
        <v>635</v>
      </c>
      <c r="H261" s="36" t="s">
        <v>56</v>
      </c>
      <c r="I261" s="48" t="s">
        <v>24</v>
      </c>
      <c r="J261" s="51" t="s">
        <v>398</v>
      </c>
      <c r="K261" s="36" t="s">
        <v>682</v>
      </c>
    </row>
    <row r="262" spans="1:59" s="9" customFormat="1" ht="45" x14ac:dyDescent="0.25">
      <c r="A262" s="31"/>
      <c r="B262" s="36">
        <v>256</v>
      </c>
      <c r="C262" s="36" t="s">
        <v>650</v>
      </c>
      <c r="D262" s="36" t="s">
        <v>93</v>
      </c>
      <c r="E262" s="36" t="s">
        <v>710</v>
      </c>
      <c r="F262" s="39">
        <v>4295.2</v>
      </c>
      <c r="G262" s="36" t="s">
        <v>683</v>
      </c>
      <c r="H262" s="36" t="s">
        <v>56</v>
      </c>
      <c r="I262" s="48" t="s">
        <v>24</v>
      </c>
      <c r="J262" s="46" t="s">
        <v>3</v>
      </c>
      <c r="K262" s="36" t="s">
        <v>684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</row>
    <row r="263" spans="1:59" s="9" customFormat="1" ht="90" x14ac:dyDescent="0.25">
      <c r="A263" s="31"/>
      <c r="B263" s="36">
        <v>257</v>
      </c>
      <c r="C263" s="36" t="s">
        <v>345</v>
      </c>
      <c r="D263" s="36" t="s">
        <v>651</v>
      </c>
      <c r="E263" s="36" t="s">
        <v>726</v>
      </c>
      <c r="F263" s="39">
        <v>14603</v>
      </c>
      <c r="G263" s="36" t="s">
        <v>683</v>
      </c>
      <c r="H263" s="36" t="s">
        <v>56</v>
      </c>
      <c r="I263" s="48" t="s">
        <v>24</v>
      </c>
      <c r="J263" s="51" t="s">
        <v>398</v>
      </c>
      <c r="K263" s="36" t="s">
        <v>685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</row>
    <row r="264" spans="1:59" s="9" customFormat="1" ht="90" x14ac:dyDescent="0.25">
      <c r="A264" s="31"/>
      <c r="B264" s="36">
        <v>258</v>
      </c>
      <c r="C264" s="36" t="s">
        <v>652</v>
      </c>
      <c r="D264" s="36" t="s">
        <v>653</v>
      </c>
      <c r="E264" s="36" t="s">
        <v>838</v>
      </c>
      <c r="F264" s="39">
        <v>4500</v>
      </c>
      <c r="G264" s="36" t="s">
        <v>683</v>
      </c>
      <c r="H264" s="36" t="s">
        <v>56</v>
      </c>
      <c r="I264" s="48" t="s">
        <v>24</v>
      </c>
      <c r="J264" s="51" t="s">
        <v>398</v>
      </c>
      <c r="K264" s="36" t="s">
        <v>686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</row>
    <row r="265" spans="1:59" s="9" customFormat="1" ht="22.5" x14ac:dyDescent="0.25">
      <c r="A265" s="31"/>
      <c r="B265" s="36">
        <v>259</v>
      </c>
      <c r="C265" s="36" t="s">
        <v>654</v>
      </c>
      <c r="D265" s="36" t="s">
        <v>17</v>
      </c>
      <c r="E265" s="36">
        <f>350+1005.6+75+73.5+257.6+320+630+1332.6+334.1+390+24100+970+90.5+290+1588.1+1588.1+15+429</f>
        <v>33839.1</v>
      </c>
      <c r="F265" s="39">
        <v>12000</v>
      </c>
      <c r="G265" s="36" t="s">
        <v>687</v>
      </c>
      <c r="H265" s="36" t="s">
        <v>28</v>
      </c>
      <c r="I265" s="48" t="s">
        <v>9</v>
      </c>
      <c r="J265" s="46" t="s">
        <v>688</v>
      </c>
      <c r="K265" s="3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</row>
    <row r="266" spans="1:59" s="9" customFormat="1" ht="90" x14ac:dyDescent="0.25">
      <c r="A266" s="31"/>
      <c r="B266" s="36">
        <v>260</v>
      </c>
      <c r="C266" s="36" t="s">
        <v>655</v>
      </c>
      <c r="D266" s="36" t="s">
        <v>656</v>
      </c>
      <c r="E266" s="36" t="s">
        <v>836</v>
      </c>
      <c r="F266" s="39">
        <v>11109</v>
      </c>
      <c r="G266" s="36" t="s">
        <v>687</v>
      </c>
      <c r="H266" s="36" t="s">
        <v>56</v>
      </c>
      <c r="I266" s="36" t="s">
        <v>24</v>
      </c>
      <c r="J266" s="51" t="s">
        <v>112</v>
      </c>
      <c r="K266" s="36" t="s">
        <v>689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</row>
    <row r="267" spans="1:59" s="9" customFormat="1" ht="90" x14ac:dyDescent="0.25">
      <c r="A267" s="31"/>
      <c r="B267" s="36">
        <v>261</v>
      </c>
      <c r="C267" s="36" t="s">
        <v>657</v>
      </c>
      <c r="D267" s="36" t="s">
        <v>658</v>
      </c>
      <c r="E267" s="36" t="s">
        <v>1493</v>
      </c>
      <c r="F267" s="39">
        <v>17170</v>
      </c>
      <c r="G267" s="36" t="s">
        <v>687</v>
      </c>
      <c r="H267" s="36" t="s">
        <v>56</v>
      </c>
      <c r="I267" s="36" t="s">
        <v>24</v>
      </c>
      <c r="J267" s="51" t="s">
        <v>398</v>
      </c>
      <c r="K267" s="36" t="s">
        <v>690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1:59" s="9" customFormat="1" ht="90" x14ac:dyDescent="0.25">
      <c r="A268" s="31"/>
      <c r="B268" s="36">
        <v>262</v>
      </c>
      <c r="C268" s="36" t="s">
        <v>659</v>
      </c>
      <c r="D268" s="36" t="s">
        <v>660</v>
      </c>
      <c r="E268" s="36" t="s">
        <v>2924</v>
      </c>
      <c r="F268" s="39">
        <v>22600</v>
      </c>
      <c r="G268" s="36" t="s">
        <v>687</v>
      </c>
      <c r="H268" s="36" t="s">
        <v>56</v>
      </c>
      <c r="I268" s="36" t="s">
        <v>24</v>
      </c>
      <c r="J268" s="51" t="s">
        <v>112</v>
      </c>
      <c r="K268" s="36" t="s">
        <v>691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</row>
    <row r="269" spans="1:59" s="9" customFormat="1" ht="90" x14ac:dyDescent="0.25">
      <c r="A269" s="31"/>
      <c r="B269" s="36">
        <v>263</v>
      </c>
      <c r="C269" s="36" t="s">
        <v>661</v>
      </c>
      <c r="D269" s="36" t="s">
        <v>651</v>
      </c>
      <c r="E269" s="36" t="s">
        <v>1530</v>
      </c>
      <c r="F269" s="39">
        <v>105000</v>
      </c>
      <c r="G269" s="36" t="s">
        <v>692</v>
      </c>
      <c r="H269" s="36" t="s">
        <v>28</v>
      </c>
      <c r="I269" s="36" t="s">
        <v>24</v>
      </c>
      <c r="J269" s="51" t="s">
        <v>693</v>
      </c>
      <c r="K269" s="36" t="s">
        <v>694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</row>
    <row r="270" spans="1:59" s="9" customFormat="1" ht="90" x14ac:dyDescent="0.25">
      <c r="A270" s="31"/>
      <c r="B270" s="36">
        <v>265</v>
      </c>
      <c r="C270" s="36" t="s">
        <v>662</v>
      </c>
      <c r="D270" s="36" t="s">
        <v>651</v>
      </c>
      <c r="E270" s="36">
        <f>25000*9</f>
        <v>225000</v>
      </c>
      <c r="F270" s="39">
        <v>250000</v>
      </c>
      <c r="G270" s="36" t="s">
        <v>692</v>
      </c>
      <c r="H270" s="36" t="s">
        <v>28</v>
      </c>
      <c r="I270" s="36" t="s">
        <v>24</v>
      </c>
      <c r="J270" s="51" t="s">
        <v>693</v>
      </c>
      <c r="K270" s="36" t="s">
        <v>695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</row>
    <row r="271" spans="1:59" ht="90" x14ac:dyDescent="0.25">
      <c r="A271" s="29"/>
      <c r="B271" s="36">
        <v>266</v>
      </c>
      <c r="C271" s="36" t="s">
        <v>519</v>
      </c>
      <c r="D271" s="36" t="s">
        <v>663</v>
      </c>
      <c r="E271" s="36">
        <v>75</v>
      </c>
      <c r="F271" s="39">
        <v>75</v>
      </c>
      <c r="G271" s="36" t="s">
        <v>696</v>
      </c>
      <c r="H271" s="36" t="s">
        <v>56</v>
      </c>
      <c r="I271" s="36" t="s">
        <v>24</v>
      </c>
      <c r="J271" s="51" t="s">
        <v>398</v>
      </c>
      <c r="K271" s="36" t="s">
        <v>697</v>
      </c>
    </row>
    <row r="272" spans="1:59" s="9" customFormat="1" ht="45" x14ac:dyDescent="0.25">
      <c r="A272" s="31"/>
      <c r="B272" s="36">
        <v>267</v>
      </c>
      <c r="C272" s="36" t="s">
        <v>664</v>
      </c>
      <c r="D272" s="36" t="s">
        <v>665</v>
      </c>
      <c r="E272" s="36">
        <f>6755+5900+5900+5900+5900</f>
        <v>30355</v>
      </c>
      <c r="F272" s="39">
        <v>31200</v>
      </c>
      <c r="G272" s="36" t="s">
        <v>698</v>
      </c>
      <c r="H272" s="36" t="s">
        <v>28</v>
      </c>
      <c r="I272" s="36" t="s">
        <v>9</v>
      </c>
      <c r="J272" s="51" t="s">
        <v>699</v>
      </c>
      <c r="K272" s="36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</row>
    <row r="273" spans="1:118" s="9" customFormat="1" ht="45" x14ac:dyDescent="0.25">
      <c r="A273" s="31"/>
      <c r="B273" s="36">
        <v>268</v>
      </c>
      <c r="C273" s="36" t="s">
        <v>666</v>
      </c>
      <c r="D273" s="36" t="s">
        <v>108</v>
      </c>
      <c r="E273" s="36">
        <v>947.65</v>
      </c>
      <c r="F273" s="39">
        <v>1200</v>
      </c>
      <c r="G273" s="36" t="s">
        <v>698</v>
      </c>
      <c r="H273" s="36" t="s">
        <v>56</v>
      </c>
      <c r="I273" s="36" t="s">
        <v>24</v>
      </c>
      <c r="J273" s="46" t="s">
        <v>3</v>
      </c>
      <c r="K273" s="36" t="s">
        <v>700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</row>
    <row r="274" spans="1:118" ht="45" x14ac:dyDescent="0.25">
      <c r="A274" s="29"/>
      <c r="B274" s="36">
        <v>269</v>
      </c>
      <c r="C274" s="36" t="s">
        <v>667</v>
      </c>
      <c r="D274" s="36" t="s">
        <v>110</v>
      </c>
      <c r="E274" s="36" t="s">
        <v>730</v>
      </c>
      <c r="F274" s="39">
        <v>1700</v>
      </c>
      <c r="G274" s="36" t="s">
        <v>698</v>
      </c>
      <c r="H274" s="36" t="s">
        <v>56</v>
      </c>
      <c r="I274" s="36" t="s">
        <v>24</v>
      </c>
      <c r="J274" s="46" t="s">
        <v>3</v>
      </c>
      <c r="K274" s="36" t="s">
        <v>701</v>
      </c>
    </row>
    <row r="275" spans="1:118" s="9" customFormat="1" ht="90" x14ac:dyDescent="0.25">
      <c r="A275" s="31"/>
      <c r="B275" s="36">
        <v>271</v>
      </c>
      <c r="C275" s="36" t="s">
        <v>668</v>
      </c>
      <c r="D275" s="36" t="s">
        <v>669</v>
      </c>
      <c r="E275" s="36" t="s">
        <v>1120</v>
      </c>
      <c r="F275" s="39">
        <v>32000</v>
      </c>
      <c r="G275" s="36" t="s">
        <v>702</v>
      </c>
      <c r="H275" s="36" t="s">
        <v>56</v>
      </c>
      <c r="I275" s="36" t="s">
        <v>24</v>
      </c>
      <c r="J275" s="51" t="s">
        <v>112</v>
      </c>
      <c r="K275" s="36" t="s">
        <v>750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</row>
    <row r="276" spans="1:118" s="9" customFormat="1" ht="90" x14ac:dyDescent="0.25">
      <c r="A276" s="31"/>
      <c r="B276" s="36">
        <v>272</v>
      </c>
      <c r="C276" s="36" t="s">
        <v>670</v>
      </c>
      <c r="D276" s="36" t="s">
        <v>671</v>
      </c>
      <c r="E276" s="36" t="s">
        <v>1213</v>
      </c>
      <c r="F276" s="39">
        <v>39102.480000000003</v>
      </c>
      <c r="G276" s="36" t="s">
        <v>702</v>
      </c>
      <c r="H276" s="36" t="s">
        <v>56</v>
      </c>
      <c r="I276" s="36" t="s">
        <v>24</v>
      </c>
      <c r="J276" s="51" t="s">
        <v>398</v>
      </c>
      <c r="K276" s="36" t="s">
        <v>751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</row>
    <row r="277" spans="1:118" s="9" customFormat="1" ht="90" x14ac:dyDescent="0.25">
      <c r="A277" s="31"/>
      <c r="B277" s="36">
        <v>273</v>
      </c>
      <c r="C277" s="36" t="s">
        <v>672</v>
      </c>
      <c r="D277" s="36" t="s">
        <v>671</v>
      </c>
      <c r="E277" s="36">
        <f>20352+30528</f>
        <v>50880</v>
      </c>
      <c r="F277" s="39">
        <v>50880</v>
      </c>
      <c r="G277" s="36" t="s">
        <v>703</v>
      </c>
      <c r="H277" s="36" t="s">
        <v>56</v>
      </c>
      <c r="I277" s="36" t="s">
        <v>24</v>
      </c>
      <c r="J277" s="51" t="s">
        <v>398</v>
      </c>
      <c r="K277" s="36" t="s">
        <v>704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</row>
    <row r="278" spans="1:118" s="9" customFormat="1" ht="45.75" x14ac:dyDescent="0.25">
      <c r="A278" s="31"/>
      <c r="B278" s="36">
        <v>274</v>
      </c>
      <c r="C278" s="36" t="s">
        <v>247</v>
      </c>
      <c r="D278" s="36" t="s">
        <v>673</v>
      </c>
      <c r="E278" s="36">
        <v>28</v>
      </c>
      <c r="F278" s="39">
        <v>28</v>
      </c>
      <c r="G278" s="36" t="s">
        <v>703</v>
      </c>
      <c r="H278" s="36" t="s">
        <v>56</v>
      </c>
      <c r="I278" s="36" t="s">
        <v>24</v>
      </c>
      <c r="J278" s="46" t="s">
        <v>6</v>
      </c>
      <c r="K278" s="36" t="s">
        <v>752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</row>
    <row r="279" spans="1:118" s="9" customFormat="1" ht="22.5" x14ac:dyDescent="0.25">
      <c r="A279" s="31"/>
      <c r="B279" s="36">
        <v>275</v>
      </c>
      <c r="C279" s="36" t="s">
        <v>492</v>
      </c>
      <c r="D279" s="36" t="s">
        <v>674</v>
      </c>
      <c r="E279" s="36">
        <f>60765+19001</f>
        <v>79766</v>
      </c>
      <c r="F279" s="39">
        <v>79766</v>
      </c>
      <c r="G279" s="36" t="s">
        <v>703</v>
      </c>
      <c r="H279" s="36" t="s">
        <v>28</v>
      </c>
      <c r="I279" s="36" t="s">
        <v>24</v>
      </c>
      <c r="J279" s="46" t="s">
        <v>705</v>
      </c>
      <c r="K279" s="3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</row>
    <row r="280" spans="1:118" s="9" customFormat="1" ht="45" x14ac:dyDescent="0.25">
      <c r="A280" s="31"/>
      <c r="B280" s="36">
        <v>276</v>
      </c>
      <c r="C280" s="36" t="s">
        <v>650</v>
      </c>
      <c r="D280" s="36" t="s">
        <v>93</v>
      </c>
      <c r="E280" s="36">
        <v>330.4</v>
      </c>
      <c r="F280" s="39">
        <v>330.4</v>
      </c>
      <c r="G280" s="36" t="s">
        <v>703</v>
      </c>
      <c r="H280" s="36" t="s">
        <v>56</v>
      </c>
      <c r="I280" s="36" t="s">
        <v>24</v>
      </c>
      <c r="J280" s="46" t="s">
        <v>3</v>
      </c>
      <c r="K280" s="36" t="s">
        <v>753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</row>
    <row r="281" spans="1:118" s="9" customFormat="1" ht="45" x14ac:dyDescent="0.25">
      <c r="A281" s="31"/>
      <c r="B281" s="36">
        <v>277</v>
      </c>
      <c r="C281" s="36" t="s">
        <v>126</v>
      </c>
      <c r="D281" s="36" t="s">
        <v>5</v>
      </c>
      <c r="E281" s="36">
        <v>280</v>
      </c>
      <c r="F281" s="39">
        <v>280</v>
      </c>
      <c r="G281" s="36" t="s">
        <v>703</v>
      </c>
      <c r="H281" s="36" t="s">
        <v>56</v>
      </c>
      <c r="I281" s="36" t="s">
        <v>24</v>
      </c>
      <c r="J281" s="46" t="s">
        <v>3</v>
      </c>
      <c r="K281" s="36" t="s">
        <v>754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1:118" s="9" customFormat="1" ht="45" x14ac:dyDescent="0.25">
      <c r="A282" s="31"/>
      <c r="B282" s="36">
        <v>278</v>
      </c>
      <c r="C282" s="36" t="s">
        <v>675</v>
      </c>
      <c r="D282" s="36" t="s">
        <v>5</v>
      </c>
      <c r="E282" s="36">
        <v>90</v>
      </c>
      <c r="F282" s="39">
        <v>90</v>
      </c>
      <c r="G282" s="36" t="s">
        <v>703</v>
      </c>
      <c r="H282" s="36" t="s">
        <v>56</v>
      </c>
      <c r="I282" s="36" t="s">
        <v>24</v>
      </c>
      <c r="J282" s="46" t="s">
        <v>3</v>
      </c>
      <c r="K282" s="36" t="s">
        <v>743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</row>
    <row r="283" spans="1:118" s="9" customFormat="1" ht="45" x14ac:dyDescent="0.25">
      <c r="A283" s="31"/>
      <c r="B283" s="36">
        <v>279</v>
      </c>
      <c r="C283" s="36" t="s">
        <v>277</v>
      </c>
      <c r="D283" s="36" t="s">
        <v>278</v>
      </c>
      <c r="E283" s="36" t="s">
        <v>845</v>
      </c>
      <c r="F283" s="39">
        <v>8270</v>
      </c>
      <c r="G283" s="36" t="s">
        <v>703</v>
      </c>
      <c r="H283" s="36" t="s">
        <v>56</v>
      </c>
      <c r="I283" s="36" t="s">
        <v>24</v>
      </c>
      <c r="J283" s="46" t="s">
        <v>3</v>
      </c>
      <c r="K283" s="36" t="s">
        <v>756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1:118" s="9" customFormat="1" ht="45" x14ac:dyDescent="0.25">
      <c r="A284" s="31"/>
      <c r="B284" s="36">
        <v>280</v>
      </c>
      <c r="C284" s="36" t="s">
        <v>755</v>
      </c>
      <c r="D284" s="36" t="s">
        <v>278</v>
      </c>
      <c r="E284" s="36" t="s">
        <v>846</v>
      </c>
      <c r="F284" s="39">
        <v>2393.5</v>
      </c>
      <c r="G284" s="36" t="s">
        <v>703</v>
      </c>
      <c r="H284" s="36" t="s">
        <v>56</v>
      </c>
      <c r="I284" s="36" t="s">
        <v>24</v>
      </c>
      <c r="J284" s="46" t="s">
        <v>3</v>
      </c>
      <c r="K284" s="36" t="s">
        <v>757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</row>
    <row r="285" spans="1:118" s="9" customFormat="1" ht="90" x14ac:dyDescent="0.25">
      <c r="A285" s="31"/>
      <c r="B285" s="36">
        <v>281</v>
      </c>
      <c r="C285" s="36" t="s">
        <v>676</v>
      </c>
      <c r="D285" s="36" t="s">
        <v>677</v>
      </c>
      <c r="E285" s="36" t="s">
        <v>840</v>
      </c>
      <c r="F285" s="39">
        <v>52737.2</v>
      </c>
      <c r="G285" s="36" t="s">
        <v>706</v>
      </c>
      <c r="H285" s="36" t="s">
        <v>56</v>
      </c>
      <c r="I285" s="36" t="s">
        <v>24</v>
      </c>
      <c r="J285" s="51" t="s">
        <v>398</v>
      </c>
      <c r="K285" s="36" t="s">
        <v>758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1:118" s="9" customFormat="1" ht="15" x14ac:dyDescent="0.25">
      <c r="A286" s="31"/>
      <c r="B286" s="36">
        <v>282</v>
      </c>
      <c r="C286" s="36" t="s">
        <v>678</v>
      </c>
      <c r="D286" s="36" t="s">
        <v>679</v>
      </c>
      <c r="E286" s="36">
        <f>3650+22158.85</f>
        <v>25808.85</v>
      </c>
      <c r="F286" s="39">
        <v>3650</v>
      </c>
      <c r="G286" s="36" t="s">
        <v>706</v>
      </c>
      <c r="H286" s="36" t="s">
        <v>56</v>
      </c>
      <c r="I286" s="51" t="s">
        <v>9</v>
      </c>
      <c r="J286" s="46" t="s">
        <v>707</v>
      </c>
      <c r="K286" s="36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</row>
    <row r="287" spans="1:118" s="9" customFormat="1" ht="90" x14ac:dyDescent="0.25">
      <c r="B287" s="36">
        <v>283</v>
      </c>
      <c r="C287" s="36" t="s">
        <v>680</v>
      </c>
      <c r="D287" s="36" t="s">
        <v>681</v>
      </c>
      <c r="E287" s="36">
        <f>31506+4318+4932.4+3221.4+2478+3221.4+2478+2478+2478</f>
        <v>57111.200000000004</v>
      </c>
      <c r="F287" s="39">
        <v>162899</v>
      </c>
      <c r="G287" s="36" t="s">
        <v>708</v>
      </c>
      <c r="H287" s="36" t="s">
        <v>28</v>
      </c>
      <c r="I287" s="36" t="s">
        <v>24</v>
      </c>
      <c r="J287" s="51" t="s">
        <v>709</v>
      </c>
      <c r="K287" s="36" t="s">
        <v>1111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</row>
    <row r="288" spans="1:118" s="9" customFormat="1" ht="45" x14ac:dyDescent="0.25">
      <c r="B288" s="36">
        <v>284</v>
      </c>
      <c r="C288" s="36" t="s">
        <v>736</v>
      </c>
      <c r="D288" s="36" t="s">
        <v>5</v>
      </c>
      <c r="E288" s="36">
        <v>943.25</v>
      </c>
      <c r="F288" s="39">
        <v>943.25</v>
      </c>
      <c r="G288" s="36" t="s">
        <v>708</v>
      </c>
      <c r="H288" s="36" t="s">
        <v>56</v>
      </c>
      <c r="I288" s="36" t="s">
        <v>24</v>
      </c>
      <c r="J288" s="46" t="s">
        <v>3</v>
      </c>
      <c r="K288" s="36" t="s">
        <v>739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</row>
    <row r="289" spans="2:59" s="9" customFormat="1" ht="90" x14ac:dyDescent="0.25">
      <c r="B289" s="36">
        <v>285</v>
      </c>
      <c r="C289" s="36" t="s">
        <v>737</v>
      </c>
      <c r="D289" s="36" t="s">
        <v>738</v>
      </c>
      <c r="E289" s="36">
        <v>121.76</v>
      </c>
      <c r="F289" s="39">
        <v>121.76</v>
      </c>
      <c r="G289" s="36" t="s">
        <v>708</v>
      </c>
      <c r="H289" s="36" t="s">
        <v>56</v>
      </c>
      <c r="I289" s="36" t="s">
        <v>24</v>
      </c>
      <c r="J289" s="51" t="s">
        <v>398</v>
      </c>
      <c r="K289" s="36" t="s">
        <v>740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</row>
    <row r="290" spans="2:59" s="9" customFormat="1" ht="45" x14ac:dyDescent="0.25">
      <c r="B290" s="36">
        <v>286</v>
      </c>
      <c r="C290" s="36" t="s">
        <v>744</v>
      </c>
      <c r="D290" s="36" t="s">
        <v>5</v>
      </c>
      <c r="E290" s="36">
        <v>200</v>
      </c>
      <c r="F290" s="39">
        <v>200</v>
      </c>
      <c r="G290" s="36" t="s">
        <v>708</v>
      </c>
      <c r="H290" s="36" t="s">
        <v>56</v>
      </c>
      <c r="I290" s="36" t="s">
        <v>24</v>
      </c>
      <c r="J290" s="46" t="s">
        <v>3</v>
      </c>
      <c r="K290" s="36" t="s">
        <v>745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</row>
    <row r="291" spans="2:59" s="9" customFormat="1" ht="45" x14ac:dyDescent="0.25">
      <c r="B291" s="36">
        <v>287</v>
      </c>
      <c r="C291" s="36" t="s">
        <v>759</v>
      </c>
      <c r="D291" s="36" t="s">
        <v>5</v>
      </c>
      <c r="E291" s="36">
        <v>134</v>
      </c>
      <c r="F291" s="39">
        <v>134</v>
      </c>
      <c r="G291" s="36" t="s">
        <v>708</v>
      </c>
      <c r="H291" s="36" t="s">
        <v>56</v>
      </c>
      <c r="I291" s="36" t="s">
        <v>24</v>
      </c>
      <c r="J291" s="46" t="s">
        <v>3</v>
      </c>
      <c r="K291" s="36" t="s">
        <v>798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</row>
    <row r="292" spans="2:59" s="9" customFormat="1" ht="45" x14ac:dyDescent="0.25">
      <c r="B292" s="36">
        <v>288</v>
      </c>
      <c r="C292" s="36" t="s">
        <v>109</v>
      </c>
      <c r="D292" s="36" t="s">
        <v>232</v>
      </c>
      <c r="E292" s="36" t="s">
        <v>605</v>
      </c>
      <c r="F292" s="39">
        <v>1750</v>
      </c>
      <c r="G292" s="36" t="s">
        <v>799</v>
      </c>
      <c r="H292" s="36" t="s">
        <v>56</v>
      </c>
      <c r="I292" s="36" t="s">
        <v>24</v>
      </c>
      <c r="J292" s="46" t="s">
        <v>3</v>
      </c>
      <c r="K292" s="36" t="s">
        <v>800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</row>
    <row r="293" spans="2:59" s="9" customFormat="1" ht="45" x14ac:dyDescent="0.25">
      <c r="B293" s="36">
        <v>289</v>
      </c>
      <c r="C293" s="36" t="s">
        <v>109</v>
      </c>
      <c r="D293" s="36" t="s">
        <v>110</v>
      </c>
      <c r="E293" s="36" t="s">
        <v>850</v>
      </c>
      <c r="F293" s="39">
        <v>2900</v>
      </c>
      <c r="G293" s="36" t="s">
        <v>799</v>
      </c>
      <c r="H293" s="36" t="s">
        <v>56</v>
      </c>
      <c r="I293" s="36" t="s">
        <v>24</v>
      </c>
      <c r="J293" s="46" t="s">
        <v>3</v>
      </c>
      <c r="K293" s="36" t="s">
        <v>801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</row>
    <row r="294" spans="2:59" s="9" customFormat="1" ht="45" x14ac:dyDescent="0.25">
      <c r="B294" s="36">
        <v>290</v>
      </c>
      <c r="C294" s="36" t="s">
        <v>760</v>
      </c>
      <c r="D294" s="36" t="s">
        <v>93</v>
      </c>
      <c r="E294" s="36" t="s">
        <v>837</v>
      </c>
      <c r="F294" s="39">
        <v>14622.56</v>
      </c>
      <c r="G294" s="36" t="s">
        <v>802</v>
      </c>
      <c r="H294" s="36" t="s">
        <v>56</v>
      </c>
      <c r="I294" s="36" t="s">
        <v>24</v>
      </c>
      <c r="J294" s="46" t="s">
        <v>3</v>
      </c>
      <c r="K294" s="36" t="s">
        <v>803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</row>
    <row r="295" spans="2:59" s="9" customFormat="1" ht="45" x14ac:dyDescent="0.25">
      <c r="B295" s="36">
        <v>291</v>
      </c>
      <c r="C295" s="36" t="s">
        <v>466</v>
      </c>
      <c r="D295" s="36" t="s">
        <v>93</v>
      </c>
      <c r="E295" s="36" t="s">
        <v>1113</v>
      </c>
      <c r="F295" s="39">
        <v>3142.1</v>
      </c>
      <c r="G295" s="36" t="s">
        <v>802</v>
      </c>
      <c r="H295" s="36" t="s">
        <v>56</v>
      </c>
      <c r="I295" s="36" t="s">
        <v>24</v>
      </c>
      <c r="J295" s="46" t="s">
        <v>3</v>
      </c>
      <c r="K295" s="36" t="s">
        <v>804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2:59" s="9" customFormat="1" ht="90" x14ac:dyDescent="0.25">
      <c r="B296" s="36">
        <v>292</v>
      </c>
      <c r="C296" s="36" t="s">
        <v>761</v>
      </c>
      <c r="D296" s="36" t="s">
        <v>762</v>
      </c>
      <c r="E296" s="36" t="s">
        <v>839</v>
      </c>
      <c r="F296" s="39">
        <v>63920.01</v>
      </c>
      <c r="G296" s="36" t="s">
        <v>802</v>
      </c>
      <c r="H296" s="36" t="s">
        <v>56</v>
      </c>
      <c r="I296" s="36" t="s">
        <v>24</v>
      </c>
      <c r="J296" s="51" t="s">
        <v>398</v>
      </c>
      <c r="K296" s="36" t="s">
        <v>805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2:59" s="9" customFormat="1" ht="90" x14ac:dyDescent="0.25">
      <c r="B297" s="36">
        <v>293</v>
      </c>
      <c r="C297" s="36" t="s">
        <v>763</v>
      </c>
      <c r="D297" s="36" t="s">
        <v>764</v>
      </c>
      <c r="E297" s="36" t="s">
        <v>1215</v>
      </c>
      <c r="F297" s="39">
        <v>309264</v>
      </c>
      <c r="G297" s="36" t="s">
        <v>802</v>
      </c>
      <c r="H297" s="36" t="s">
        <v>56</v>
      </c>
      <c r="I297" s="36" t="s">
        <v>24</v>
      </c>
      <c r="J297" s="51" t="s">
        <v>398</v>
      </c>
      <c r="K297" s="36" t="s">
        <v>1214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2:59" s="9" customFormat="1" ht="90" x14ac:dyDescent="0.25">
      <c r="B298" s="36">
        <v>294</v>
      </c>
      <c r="C298" s="36" t="s">
        <v>765</v>
      </c>
      <c r="D298" s="36" t="s">
        <v>766</v>
      </c>
      <c r="E298" s="36">
        <f>4500+10500</f>
        <v>15000</v>
      </c>
      <c r="F298" s="39">
        <v>15000</v>
      </c>
      <c r="G298" s="36" t="s">
        <v>806</v>
      </c>
      <c r="H298" s="36" t="s">
        <v>56</v>
      </c>
      <c r="I298" s="36" t="s">
        <v>24</v>
      </c>
      <c r="J298" s="51" t="s">
        <v>112</v>
      </c>
      <c r="K298" s="36" t="s">
        <v>807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2:59" s="9" customFormat="1" ht="45.75" x14ac:dyDescent="0.25">
      <c r="B299" s="36">
        <v>295</v>
      </c>
      <c r="C299" s="36" t="s">
        <v>767</v>
      </c>
      <c r="D299" s="36" t="s">
        <v>768</v>
      </c>
      <c r="E299" s="36">
        <v>354</v>
      </c>
      <c r="F299" s="39">
        <v>354</v>
      </c>
      <c r="G299" s="36" t="s">
        <v>806</v>
      </c>
      <c r="H299" s="36" t="s">
        <v>56</v>
      </c>
      <c r="I299" s="36" t="s">
        <v>24</v>
      </c>
      <c r="J299" s="46" t="s">
        <v>6</v>
      </c>
      <c r="K299" s="36" t="s">
        <v>808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</row>
    <row r="300" spans="2:59" s="9" customFormat="1" ht="90" x14ac:dyDescent="0.25">
      <c r="B300" s="36">
        <v>296</v>
      </c>
      <c r="C300" s="36" t="s">
        <v>769</v>
      </c>
      <c r="D300" s="36" t="s">
        <v>770</v>
      </c>
      <c r="E300" s="36" t="s">
        <v>849</v>
      </c>
      <c r="F300" s="39">
        <v>29016</v>
      </c>
      <c r="G300" s="36" t="s">
        <v>809</v>
      </c>
      <c r="H300" s="36" t="s">
        <v>56</v>
      </c>
      <c r="I300" s="36" t="s">
        <v>24</v>
      </c>
      <c r="J300" s="51" t="s">
        <v>112</v>
      </c>
      <c r="K300" s="36" t="s">
        <v>810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</row>
    <row r="301" spans="2:59" s="9" customFormat="1" ht="45" x14ac:dyDescent="0.25">
      <c r="B301" s="36">
        <v>297</v>
      </c>
      <c r="C301" s="36" t="s">
        <v>771</v>
      </c>
      <c r="D301" s="36" t="s">
        <v>108</v>
      </c>
      <c r="E301" s="36">
        <v>170.5</v>
      </c>
      <c r="F301" s="39">
        <v>240</v>
      </c>
      <c r="G301" s="36" t="s">
        <v>809</v>
      </c>
      <c r="H301" s="36" t="s">
        <v>56</v>
      </c>
      <c r="I301" s="36" t="s">
        <v>24</v>
      </c>
      <c r="J301" s="46" t="s">
        <v>3</v>
      </c>
      <c r="K301" s="36" t="s">
        <v>811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</row>
    <row r="302" spans="2:59" s="9" customFormat="1" ht="45" x14ac:dyDescent="0.25">
      <c r="B302" s="36">
        <v>298</v>
      </c>
      <c r="C302" s="36" t="s">
        <v>209</v>
      </c>
      <c r="D302" s="36" t="s">
        <v>110</v>
      </c>
      <c r="E302" s="36" t="s">
        <v>841</v>
      </c>
      <c r="F302" s="39">
        <v>2600</v>
      </c>
      <c r="G302" s="36" t="s">
        <v>809</v>
      </c>
      <c r="H302" s="36" t="s">
        <v>56</v>
      </c>
      <c r="I302" s="36" t="s">
        <v>24</v>
      </c>
      <c r="J302" s="46" t="s">
        <v>3</v>
      </c>
      <c r="K302" s="36" t="s">
        <v>812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</row>
    <row r="303" spans="2:59" s="9" customFormat="1" ht="45" x14ac:dyDescent="0.25">
      <c r="B303" s="36">
        <v>299</v>
      </c>
      <c r="C303" s="36" t="s">
        <v>772</v>
      </c>
      <c r="D303" s="36" t="s">
        <v>232</v>
      </c>
      <c r="E303" s="36" t="s">
        <v>842</v>
      </c>
      <c r="F303" s="39">
        <v>4950</v>
      </c>
      <c r="G303" s="36" t="s">
        <v>809</v>
      </c>
      <c r="H303" s="36" t="s">
        <v>56</v>
      </c>
      <c r="I303" s="36" t="s">
        <v>24</v>
      </c>
      <c r="J303" s="46" t="s">
        <v>3</v>
      </c>
      <c r="K303" s="36" t="s">
        <v>813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</row>
    <row r="304" spans="2:59" s="9" customFormat="1" ht="45" x14ac:dyDescent="0.25">
      <c r="B304" s="36">
        <v>300</v>
      </c>
      <c r="C304" s="36" t="s">
        <v>773</v>
      </c>
      <c r="D304" s="36" t="s">
        <v>108</v>
      </c>
      <c r="E304" s="36">
        <v>410.85</v>
      </c>
      <c r="F304" s="39">
        <v>480</v>
      </c>
      <c r="G304" s="36" t="s">
        <v>809</v>
      </c>
      <c r="H304" s="36" t="s">
        <v>56</v>
      </c>
      <c r="I304" s="36" t="s">
        <v>24</v>
      </c>
      <c r="J304" s="46" t="s">
        <v>3</v>
      </c>
      <c r="K304" s="36" t="s">
        <v>814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</row>
    <row r="305" spans="2:59" s="9" customFormat="1" ht="45" x14ac:dyDescent="0.25">
      <c r="B305" s="36">
        <v>301</v>
      </c>
      <c r="C305" s="36" t="s">
        <v>277</v>
      </c>
      <c r="D305" s="36" t="s">
        <v>278</v>
      </c>
      <c r="E305" s="36" t="s">
        <v>843</v>
      </c>
      <c r="F305" s="39">
        <v>31640</v>
      </c>
      <c r="G305" s="36" t="s">
        <v>809</v>
      </c>
      <c r="H305" s="36" t="s">
        <v>56</v>
      </c>
      <c r="I305" s="36" t="s">
        <v>24</v>
      </c>
      <c r="J305" s="46" t="s">
        <v>3</v>
      </c>
      <c r="K305" s="36" t="s">
        <v>815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</row>
    <row r="306" spans="2:59" s="9" customFormat="1" ht="45" x14ac:dyDescent="0.25">
      <c r="B306" s="36">
        <v>302</v>
      </c>
      <c r="C306" s="36" t="s">
        <v>774</v>
      </c>
      <c r="D306" s="36" t="s">
        <v>108</v>
      </c>
      <c r="E306" s="36">
        <v>394.73</v>
      </c>
      <c r="F306" s="39">
        <v>400</v>
      </c>
      <c r="G306" s="36" t="s">
        <v>816</v>
      </c>
      <c r="H306" s="36" t="s">
        <v>56</v>
      </c>
      <c r="I306" s="36" t="s">
        <v>24</v>
      </c>
      <c r="J306" s="46" t="s">
        <v>3</v>
      </c>
      <c r="K306" s="36" t="s">
        <v>848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</row>
    <row r="307" spans="2:59" s="9" customFormat="1" ht="45" x14ac:dyDescent="0.25">
      <c r="B307" s="36">
        <v>303</v>
      </c>
      <c r="C307" s="36" t="s">
        <v>132</v>
      </c>
      <c r="D307" s="36" t="s">
        <v>5</v>
      </c>
      <c r="E307" s="36">
        <v>880</v>
      </c>
      <c r="F307" s="39">
        <v>880</v>
      </c>
      <c r="G307" s="36" t="s">
        <v>816</v>
      </c>
      <c r="H307" s="36" t="s">
        <v>56</v>
      </c>
      <c r="I307" s="36" t="s">
        <v>24</v>
      </c>
      <c r="J307" s="46" t="s">
        <v>3</v>
      </c>
      <c r="K307" s="36" t="s">
        <v>817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</row>
    <row r="308" spans="2:59" s="9" customFormat="1" ht="45" x14ac:dyDescent="0.25">
      <c r="B308" s="36">
        <v>304</v>
      </c>
      <c r="C308" s="36" t="s">
        <v>316</v>
      </c>
      <c r="D308" s="36" t="s">
        <v>108</v>
      </c>
      <c r="E308" s="36">
        <v>302</v>
      </c>
      <c r="F308" s="39">
        <v>400</v>
      </c>
      <c r="G308" s="36" t="s">
        <v>816</v>
      </c>
      <c r="H308" s="36" t="s">
        <v>56</v>
      </c>
      <c r="I308" s="36" t="s">
        <v>24</v>
      </c>
      <c r="J308" s="46" t="s">
        <v>3</v>
      </c>
      <c r="K308" s="36" t="s">
        <v>851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</row>
    <row r="309" spans="2:59" s="9" customFormat="1" ht="45" x14ac:dyDescent="0.25">
      <c r="B309" s="36">
        <v>305</v>
      </c>
      <c r="C309" s="36" t="s">
        <v>277</v>
      </c>
      <c r="D309" s="36" t="s">
        <v>278</v>
      </c>
      <c r="E309" s="36" t="s">
        <v>844</v>
      </c>
      <c r="F309" s="39">
        <v>2297.6999999999998</v>
      </c>
      <c r="G309" s="36" t="s">
        <v>816</v>
      </c>
      <c r="H309" s="36" t="s">
        <v>56</v>
      </c>
      <c r="I309" s="36" t="s">
        <v>24</v>
      </c>
      <c r="J309" s="46" t="s">
        <v>3</v>
      </c>
      <c r="K309" s="36" t="s">
        <v>818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</row>
    <row r="310" spans="2:59" s="9" customFormat="1" ht="45" x14ac:dyDescent="0.25">
      <c r="B310" s="36">
        <v>306</v>
      </c>
      <c r="C310" s="36" t="s">
        <v>209</v>
      </c>
      <c r="D310" s="36" t="s">
        <v>110</v>
      </c>
      <c r="E310" s="36" t="s">
        <v>857</v>
      </c>
      <c r="F310" s="39">
        <v>1880</v>
      </c>
      <c r="G310" s="36" t="s">
        <v>819</v>
      </c>
      <c r="H310" s="36" t="s">
        <v>56</v>
      </c>
      <c r="I310" s="36" t="s">
        <v>24</v>
      </c>
      <c r="J310" s="46" t="s">
        <v>3</v>
      </c>
      <c r="K310" s="36" t="s">
        <v>820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</row>
    <row r="311" spans="2:59" s="9" customFormat="1" ht="45" x14ac:dyDescent="0.25">
      <c r="B311" s="36">
        <v>307</v>
      </c>
      <c r="C311" s="36" t="s">
        <v>264</v>
      </c>
      <c r="D311" s="36" t="s">
        <v>232</v>
      </c>
      <c r="E311" s="36" t="s">
        <v>858</v>
      </c>
      <c r="F311" s="39">
        <v>1725</v>
      </c>
      <c r="G311" s="36" t="s">
        <v>819</v>
      </c>
      <c r="H311" s="36" t="s">
        <v>56</v>
      </c>
      <c r="I311" s="36" t="s">
        <v>24</v>
      </c>
      <c r="J311" s="46" t="s">
        <v>3</v>
      </c>
      <c r="K311" s="36" t="s">
        <v>821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</row>
    <row r="312" spans="2:59" s="9" customFormat="1" ht="45" x14ac:dyDescent="0.25">
      <c r="B312" s="36">
        <v>308</v>
      </c>
      <c r="C312" s="36" t="s">
        <v>235</v>
      </c>
      <c r="D312" s="36" t="s">
        <v>108</v>
      </c>
      <c r="E312" s="36">
        <v>285</v>
      </c>
      <c r="F312" s="39">
        <v>300</v>
      </c>
      <c r="G312" s="36" t="s">
        <v>819</v>
      </c>
      <c r="H312" s="36" t="s">
        <v>56</v>
      </c>
      <c r="I312" s="36" t="s">
        <v>24</v>
      </c>
      <c r="J312" s="46" t="s">
        <v>3</v>
      </c>
      <c r="K312" s="36" t="s">
        <v>1211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</row>
    <row r="313" spans="2:59" s="9" customFormat="1" ht="22.5" x14ac:dyDescent="0.25">
      <c r="B313" s="36">
        <v>309</v>
      </c>
      <c r="C313" s="36" t="s">
        <v>775</v>
      </c>
      <c r="D313" s="36" t="s">
        <v>776</v>
      </c>
      <c r="E313" s="36">
        <f>19600</f>
        <v>19600</v>
      </c>
      <c r="F313" s="39">
        <v>19600</v>
      </c>
      <c r="G313" s="36" t="s">
        <v>819</v>
      </c>
      <c r="H313" s="36" t="s">
        <v>56</v>
      </c>
      <c r="I313" s="36" t="s">
        <v>9</v>
      </c>
      <c r="J313" s="46" t="s">
        <v>822</v>
      </c>
      <c r="K313" s="3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</row>
    <row r="314" spans="2:59" s="9" customFormat="1" ht="90" x14ac:dyDescent="0.25">
      <c r="B314" s="36">
        <v>310</v>
      </c>
      <c r="C314" s="36" t="s">
        <v>777</v>
      </c>
      <c r="D314" s="36" t="s">
        <v>778</v>
      </c>
      <c r="E314" s="36" t="s">
        <v>2160</v>
      </c>
      <c r="F314" s="39">
        <v>10030</v>
      </c>
      <c r="G314" s="36" t="s">
        <v>819</v>
      </c>
      <c r="H314" s="36" t="s">
        <v>56</v>
      </c>
      <c r="I314" s="36" t="s">
        <v>24</v>
      </c>
      <c r="J314" s="46" t="s">
        <v>398</v>
      </c>
      <c r="K314" s="36" t="s">
        <v>823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</row>
    <row r="315" spans="2:59" s="9" customFormat="1" ht="45" x14ac:dyDescent="0.25">
      <c r="B315" s="36">
        <v>311</v>
      </c>
      <c r="C315" s="36" t="s">
        <v>779</v>
      </c>
      <c r="D315" s="36" t="s">
        <v>780</v>
      </c>
      <c r="E315" s="36">
        <v>200</v>
      </c>
      <c r="F315" s="39">
        <v>200</v>
      </c>
      <c r="G315" s="36" t="s">
        <v>824</v>
      </c>
      <c r="H315" s="36" t="s">
        <v>56</v>
      </c>
      <c r="I315" s="36" t="s">
        <v>825</v>
      </c>
      <c r="J315" s="46" t="s">
        <v>826</v>
      </c>
      <c r="K315" s="36" t="s">
        <v>827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2:59" s="9" customFormat="1" ht="45" x14ac:dyDescent="0.25">
      <c r="B316" s="36">
        <v>312</v>
      </c>
      <c r="C316" s="36" t="s">
        <v>781</v>
      </c>
      <c r="D316" s="36" t="s">
        <v>110</v>
      </c>
      <c r="E316" s="36" t="s">
        <v>1108</v>
      </c>
      <c r="F316" s="39">
        <v>1250</v>
      </c>
      <c r="G316" s="36" t="s">
        <v>828</v>
      </c>
      <c r="H316" s="36" t="s">
        <v>56</v>
      </c>
      <c r="I316" s="36" t="s">
        <v>825</v>
      </c>
      <c r="J316" s="46" t="s">
        <v>3</v>
      </c>
      <c r="K316" s="36" t="s">
        <v>1101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</row>
    <row r="317" spans="2:59" s="9" customFormat="1" ht="45" x14ac:dyDescent="0.25">
      <c r="B317" s="36">
        <v>313</v>
      </c>
      <c r="C317" s="36" t="s">
        <v>316</v>
      </c>
      <c r="D317" s="36" t="s">
        <v>108</v>
      </c>
      <c r="E317" s="36">
        <v>375</v>
      </c>
      <c r="F317" s="39">
        <v>500</v>
      </c>
      <c r="G317" s="36" t="s">
        <v>828</v>
      </c>
      <c r="H317" s="36" t="s">
        <v>56</v>
      </c>
      <c r="I317" s="36" t="s">
        <v>825</v>
      </c>
      <c r="J317" s="46" t="s">
        <v>3</v>
      </c>
      <c r="K317" s="36" t="s">
        <v>1102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</row>
    <row r="318" spans="2:59" s="9" customFormat="1" ht="45" x14ac:dyDescent="0.25">
      <c r="B318" s="36">
        <v>314</v>
      </c>
      <c r="C318" s="36" t="s">
        <v>782</v>
      </c>
      <c r="D318" s="36" t="s">
        <v>232</v>
      </c>
      <c r="E318" s="36" t="s">
        <v>1109</v>
      </c>
      <c r="F318" s="39">
        <v>1937.5</v>
      </c>
      <c r="G318" s="36" t="s">
        <v>828</v>
      </c>
      <c r="H318" s="36" t="s">
        <v>56</v>
      </c>
      <c r="I318" s="36" t="s">
        <v>825</v>
      </c>
      <c r="J318" s="46" t="s">
        <v>3</v>
      </c>
      <c r="K318" s="36" t="s">
        <v>1103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</row>
    <row r="319" spans="2:59" s="9" customFormat="1" ht="45" x14ac:dyDescent="0.25">
      <c r="B319" s="36">
        <v>315</v>
      </c>
      <c r="C319" s="36" t="s">
        <v>771</v>
      </c>
      <c r="D319" s="36" t="s">
        <v>108</v>
      </c>
      <c r="E319" s="36">
        <v>264.2</v>
      </c>
      <c r="F319" s="39">
        <v>420</v>
      </c>
      <c r="G319" s="36" t="s">
        <v>828</v>
      </c>
      <c r="H319" s="36" t="s">
        <v>56</v>
      </c>
      <c r="I319" s="36" t="s">
        <v>825</v>
      </c>
      <c r="J319" s="46" t="s">
        <v>3</v>
      </c>
      <c r="K319" s="36" t="s">
        <v>1104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</row>
    <row r="320" spans="2:59" s="9" customFormat="1" ht="45" x14ac:dyDescent="0.25">
      <c r="B320" s="36">
        <v>316</v>
      </c>
      <c r="C320" s="36" t="s">
        <v>316</v>
      </c>
      <c r="D320" s="36" t="s">
        <v>108</v>
      </c>
      <c r="E320" s="36">
        <v>220</v>
      </c>
      <c r="F320" s="39">
        <v>400</v>
      </c>
      <c r="G320" s="36" t="s">
        <v>828</v>
      </c>
      <c r="H320" s="36" t="s">
        <v>56</v>
      </c>
      <c r="I320" s="36" t="s">
        <v>825</v>
      </c>
      <c r="J320" s="46" t="s">
        <v>3</v>
      </c>
      <c r="K320" s="36" t="s">
        <v>1105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</row>
    <row r="321" spans="2:59" s="9" customFormat="1" ht="45" x14ac:dyDescent="0.25">
      <c r="B321" s="36">
        <v>317</v>
      </c>
      <c r="C321" s="36" t="s">
        <v>771</v>
      </c>
      <c r="D321" s="36" t="s">
        <v>108</v>
      </c>
      <c r="E321" s="36">
        <v>434.3</v>
      </c>
      <c r="F321" s="39">
        <v>480</v>
      </c>
      <c r="G321" s="36" t="s">
        <v>828</v>
      </c>
      <c r="H321" s="36" t="s">
        <v>829</v>
      </c>
      <c r="I321" s="36" t="s">
        <v>825</v>
      </c>
      <c r="J321" s="46" t="s">
        <v>3</v>
      </c>
      <c r="K321" s="36" t="s">
        <v>1106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</row>
    <row r="322" spans="2:59" s="9" customFormat="1" ht="45" x14ac:dyDescent="0.25">
      <c r="B322" s="36">
        <v>319</v>
      </c>
      <c r="C322" s="36" t="s">
        <v>783</v>
      </c>
      <c r="D322" s="36" t="s">
        <v>108</v>
      </c>
      <c r="E322" s="36">
        <v>400</v>
      </c>
      <c r="F322" s="39">
        <v>400</v>
      </c>
      <c r="G322" s="36" t="s">
        <v>828</v>
      </c>
      <c r="H322" s="36" t="s">
        <v>829</v>
      </c>
      <c r="I322" s="36" t="s">
        <v>825</v>
      </c>
      <c r="J322" s="46" t="s">
        <v>3</v>
      </c>
      <c r="K322" s="36" t="s">
        <v>1107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</row>
    <row r="323" spans="2:59" s="9" customFormat="1" ht="45" x14ac:dyDescent="0.25">
      <c r="B323" s="36">
        <v>320</v>
      </c>
      <c r="C323" s="36" t="s">
        <v>784</v>
      </c>
      <c r="D323" s="36" t="s">
        <v>110</v>
      </c>
      <c r="E323" s="36" t="s">
        <v>1129</v>
      </c>
      <c r="F323" s="39">
        <v>4900</v>
      </c>
      <c r="G323" s="36" t="s">
        <v>828</v>
      </c>
      <c r="H323" s="36" t="s">
        <v>56</v>
      </c>
      <c r="I323" s="36" t="s">
        <v>825</v>
      </c>
      <c r="J323" s="46" t="s">
        <v>3</v>
      </c>
      <c r="K323" s="36" t="s">
        <v>830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</row>
    <row r="324" spans="2:59" s="9" customFormat="1" ht="90" x14ac:dyDescent="0.25">
      <c r="B324" s="36">
        <v>321</v>
      </c>
      <c r="C324" s="36" t="s">
        <v>785</v>
      </c>
      <c r="D324" s="36" t="s">
        <v>786</v>
      </c>
      <c r="E324" s="36">
        <f>23267.84+9820.56</f>
        <v>33088.400000000001</v>
      </c>
      <c r="F324" s="39">
        <v>34000</v>
      </c>
      <c r="G324" s="36" t="s">
        <v>828</v>
      </c>
      <c r="H324" s="36" t="s">
        <v>56</v>
      </c>
      <c r="I324" s="36" t="s">
        <v>825</v>
      </c>
      <c r="J324" s="46" t="s">
        <v>398</v>
      </c>
      <c r="K324" s="36" t="s">
        <v>852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</row>
    <row r="325" spans="2:59" s="9" customFormat="1" ht="45" x14ac:dyDescent="0.25">
      <c r="B325" s="36">
        <v>322</v>
      </c>
      <c r="C325" s="36" t="s">
        <v>787</v>
      </c>
      <c r="D325" s="36" t="s">
        <v>110</v>
      </c>
      <c r="E325" s="36" t="s">
        <v>1115</v>
      </c>
      <c r="F325" s="39">
        <v>2370</v>
      </c>
      <c r="G325" s="36" t="s">
        <v>828</v>
      </c>
      <c r="H325" s="36" t="s">
        <v>56</v>
      </c>
      <c r="I325" s="36" t="s">
        <v>825</v>
      </c>
      <c r="J325" s="46" t="s">
        <v>3</v>
      </c>
      <c r="K325" s="36" t="s">
        <v>1096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</row>
    <row r="326" spans="2:59" s="9" customFormat="1" ht="45" x14ac:dyDescent="0.25">
      <c r="B326" s="36">
        <v>323</v>
      </c>
      <c r="C326" s="36" t="s">
        <v>787</v>
      </c>
      <c r="D326" s="36" t="s">
        <v>110</v>
      </c>
      <c r="E326" s="36" t="s">
        <v>1114</v>
      </c>
      <c r="F326" s="39">
        <v>3315</v>
      </c>
      <c r="G326" s="36" t="s">
        <v>828</v>
      </c>
      <c r="H326" s="36" t="s">
        <v>56</v>
      </c>
      <c r="I326" s="36" t="s">
        <v>825</v>
      </c>
      <c r="J326" s="46" t="s">
        <v>3</v>
      </c>
      <c r="K326" s="36" t="s">
        <v>1097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</row>
    <row r="327" spans="2:59" s="9" customFormat="1" ht="45" x14ac:dyDescent="0.25">
      <c r="B327" s="36">
        <v>324</v>
      </c>
      <c r="C327" s="36" t="s">
        <v>788</v>
      </c>
      <c r="D327" s="36" t="s">
        <v>232</v>
      </c>
      <c r="E327" s="36" t="s">
        <v>1112</v>
      </c>
      <c r="F327" s="39">
        <v>2800</v>
      </c>
      <c r="G327" s="36" t="s">
        <v>828</v>
      </c>
      <c r="H327" s="36" t="s">
        <v>56</v>
      </c>
      <c r="I327" s="36" t="s">
        <v>825</v>
      </c>
      <c r="J327" s="51" t="s">
        <v>3</v>
      </c>
      <c r="K327" s="36" t="s">
        <v>1098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</row>
    <row r="328" spans="2:59" s="9" customFormat="1" ht="45" x14ac:dyDescent="0.25">
      <c r="B328" s="36">
        <v>325</v>
      </c>
      <c r="C328" s="36" t="s">
        <v>861</v>
      </c>
      <c r="D328" s="36" t="s">
        <v>232</v>
      </c>
      <c r="E328" s="36" t="s">
        <v>1116</v>
      </c>
      <c r="F328" s="39">
        <v>3412.5</v>
      </c>
      <c r="G328" s="36" t="s">
        <v>828</v>
      </c>
      <c r="H328" s="36" t="s">
        <v>56</v>
      </c>
      <c r="I328" s="36" t="s">
        <v>24</v>
      </c>
      <c r="J328" s="46" t="s">
        <v>3</v>
      </c>
      <c r="K328" s="36" t="s">
        <v>949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</row>
    <row r="329" spans="2:59" s="9" customFormat="1" ht="45" x14ac:dyDescent="0.25">
      <c r="B329" s="36">
        <v>326</v>
      </c>
      <c r="C329" s="36" t="s">
        <v>132</v>
      </c>
      <c r="D329" s="36" t="s">
        <v>108</v>
      </c>
      <c r="E329" s="36">
        <v>408</v>
      </c>
      <c r="F329" s="39">
        <v>480</v>
      </c>
      <c r="G329" s="36" t="s">
        <v>828</v>
      </c>
      <c r="H329" s="36" t="s">
        <v>56</v>
      </c>
      <c r="I329" s="36" t="s">
        <v>24</v>
      </c>
      <c r="J329" s="46" t="s">
        <v>3</v>
      </c>
      <c r="K329" s="36" t="s">
        <v>950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</row>
    <row r="330" spans="2:59" s="9" customFormat="1" ht="45" x14ac:dyDescent="0.25">
      <c r="B330" s="36">
        <v>327</v>
      </c>
      <c r="C330" s="36" t="s">
        <v>132</v>
      </c>
      <c r="D330" s="36" t="s">
        <v>5</v>
      </c>
      <c r="E330" s="36" t="s">
        <v>1130</v>
      </c>
      <c r="F330" s="39">
        <v>1408</v>
      </c>
      <c r="G330" s="36" t="s">
        <v>828</v>
      </c>
      <c r="H330" s="36" t="s">
        <v>56</v>
      </c>
      <c r="I330" s="36" t="s">
        <v>24</v>
      </c>
      <c r="J330" s="46" t="s">
        <v>3</v>
      </c>
      <c r="K330" s="36" t="s">
        <v>951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</row>
    <row r="331" spans="2:59" s="9" customFormat="1" ht="45" x14ac:dyDescent="0.25">
      <c r="B331" s="36">
        <v>328</v>
      </c>
      <c r="C331" s="36" t="s">
        <v>331</v>
      </c>
      <c r="D331" s="36" t="s">
        <v>5</v>
      </c>
      <c r="E331" s="36">
        <v>531</v>
      </c>
      <c r="F331" s="39">
        <v>531</v>
      </c>
      <c r="G331" s="36" t="s">
        <v>828</v>
      </c>
      <c r="H331" s="36" t="s">
        <v>56</v>
      </c>
      <c r="I331" s="36" t="s">
        <v>24</v>
      </c>
      <c r="J331" s="46" t="s">
        <v>3</v>
      </c>
      <c r="K331" s="36" t="s">
        <v>952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</row>
    <row r="332" spans="2:59" s="9" customFormat="1" ht="45" x14ac:dyDescent="0.25">
      <c r="B332" s="36">
        <v>329</v>
      </c>
      <c r="C332" s="36" t="s">
        <v>277</v>
      </c>
      <c r="D332" s="36" t="s">
        <v>278</v>
      </c>
      <c r="E332" s="36" t="s">
        <v>841</v>
      </c>
      <c r="F332" s="39">
        <v>2600</v>
      </c>
      <c r="G332" s="36" t="s">
        <v>828</v>
      </c>
      <c r="H332" s="36" t="s">
        <v>56</v>
      </c>
      <c r="I332" s="36" t="s">
        <v>24</v>
      </c>
      <c r="J332" s="46" t="s">
        <v>3</v>
      </c>
      <c r="K332" s="36" t="s">
        <v>953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</row>
    <row r="333" spans="2:59" s="9" customFormat="1" ht="45" x14ac:dyDescent="0.25">
      <c r="B333" s="36">
        <v>330</v>
      </c>
      <c r="C333" s="36" t="s">
        <v>318</v>
      </c>
      <c r="D333" s="36" t="s">
        <v>278</v>
      </c>
      <c r="E333" s="36" t="s">
        <v>1100</v>
      </c>
      <c r="F333" s="39">
        <v>10384</v>
      </c>
      <c r="G333" s="36" t="s">
        <v>828</v>
      </c>
      <c r="H333" s="36" t="s">
        <v>56</v>
      </c>
      <c r="I333" s="36" t="s">
        <v>24</v>
      </c>
      <c r="J333" s="46" t="s">
        <v>3</v>
      </c>
      <c r="K333" s="36" t="s">
        <v>954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</row>
    <row r="334" spans="2:59" s="9" customFormat="1" ht="45" x14ac:dyDescent="0.25">
      <c r="B334" s="36">
        <v>331</v>
      </c>
      <c r="C334" s="36" t="s">
        <v>277</v>
      </c>
      <c r="D334" s="36" t="s">
        <v>278</v>
      </c>
      <c r="E334" s="36" t="s">
        <v>1099</v>
      </c>
      <c r="F334" s="39">
        <v>12049.2</v>
      </c>
      <c r="G334" s="36" t="s">
        <v>828</v>
      </c>
      <c r="H334" s="36" t="s">
        <v>56</v>
      </c>
      <c r="I334" s="36" t="s">
        <v>24</v>
      </c>
      <c r="J334" s="46" t="s">
        <v>3</v>
      </c>
      <c r="K334" s="36" t="s">
        <v>955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</row>
    <row r="335" spans="2:59" s="9" customFormat="1" ht="45.75" x14ac:dyDescent="0.25">
      <c r="B335" s="36">
        <v>332</v>
      </c>
      <c r="C335" s="36" t="s">
        <v>214</v>
      </c>
      <c r="D335" s="36" t="s">
        <v>482</v>
      </c>
      <c r="E335" s="36">
        <v>50</v>
      </c>
      <c r="F335" s="39">
        <v>50</v>
      </c>
      <c r="G335" s="36" t="s">
        <v>831</v>
      </c>
      <c r="H335" s="36" t="s">
        <v>56</v>
      </c>
      <c r="I335" s="36" t="s">
        <v>24</v>
      </c>
      <c r="J335" s="46" t="s">
        <v>6</v>
      </c>
      <c r="K335" s="36" t="s">
        <v>956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</row>
    <row r="336" spans="2:59" s="9" customFormat="1" ht="67.5" customHeight="1" x14ac:dyDescent="0.25">
      <c r="B336" s="36">
        <v>333</v>
      </c>
      <c r="C336" s="36" t="s">
        <v>277</v>
      </c>
      <c r="D336" s="36" t="s">
        <v>278</v>
      </c>
      <c r="E336" s="36" t="s">
        <v>1140</v>
      </c>
      <c r="F336" s="39">
        <v>17200</v>
      </c>
      <c r="G336" s="36" t="s">
        <v>831</v>
      </c>
      <c r="H336" s="36" t="s">
        <v>56</v>
      </c>
      <c r="I336" s="36" t="s">
        <v>24</v>
      </c>
      <c r="J336" s="46" t="s">
        <v>3</v>
      </c>
      <c r="K336" s="36" t="s">
        <v>957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</row>
    <row r="337" spans="2:59" s="9" customFormat="1" ht="45" x14ac:dyDescent="0.25">
      <c r="B337" s="36">
        <v>334</v>
      </c>
      <c r="C337" s="36" t="s">
        <v>789</v>
      </c>
      <c r="D337" s="36" t="s">
        <v>108</v>
      </c>
      <c r="E337" s="36">
        <f>246.51+26.23+277.69+97.52+187.61+46.03+340.07+237.6+59.9+94.05 +102.96</f>
        <v>1716.17</v>
      </c>
      <c r="F337" s="39">
        <v>3000</v>
      </c>
      <c r="G337" s="36" t="s">
        <v>831</v>
      </c>
      <c r="H337" s="36" t="s">
        <v>56</v>
      </c>
      <c r="I337" s="36" t="s">
        <v>24</v>
      </c>
      <c r="J337" s="46" t="s">
        <v>3</v>
      </c>
      <c r="K337" s="36" t="s">
        <v>958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</row>
    <row r="338" spans="2:59" s="9" customFormat="1" ht="45" x14ac:dyDescent="0.25">
      <c r="B338" s="36">
        <v>335</v>
      </c>
      <c r="C338" s="36" t="s">
        <v>790</v>
      </c>
      <c r="D338" s="36" t="s">
        <v>108</v>
      </c>
      <c r="E338" s="36">
        <v>349.98</v>
      </c>
      <c r="F338" s="39">
        <v>350</v>
      </c>
      <c r="G338" s="36" t="s">
        <v>831</v>
      </c>
      <c r="H338" s="36" t="s">
        <v>56</v>
      </c>
      <c r="I338" s="36" t="s">
        <v>24</v>
      </c>
      <c r="J338" s="46" t="s">
        <v>3</v>
      </c>
      <c r="K338" s="36" t="s">
        <v>959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</row>
    <row r="339" spans="2:59" s="9" customFormat="1" ht="45" x14ac:dyDescent="0.25">
      <c r="B339" s="36">
        <v>336</v>
      </c>
      <c r="C339" s="36" t="s">
        <v>791</v>
      </c>
      <c r="D339" s="36" t="s">
        <v>108</v>
      </c>
      <c r="E339" s="36">
        <v>460</v>
      </c>
      <c r="F339" s="39">
        <v>480</v>
      </c>
      <c r="G339" s="36" t="s">
        <v>831</v>
      </c>
      <c r="H339" s="36" t="s">
        <v>56</v>
      </c>
      <c r="I339" s="36" t="s">
        <v>24</v>
      </c>
      <c r="J339" s="46" t="s">
        <v>3</v>
      </c>
      <c r="K339" s="36" t="s">
        <v>960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</row>
    <row r="340" spans="2:59" s="9" customFormat="1" ht="90" x14ac:dyDescent="0.25">
      <c r="B340" s="36">
        <v>337</v>
      </c>
      <c r="C340" s="36" t="s">
        <v>792</v>
      </c>
      <c r="D340" s="36" t="s">
        <v>793</v>
      </c>
      <c r="E340" s="36" t="s">
        <v>1119</v>
      </c>
      <c r="F340" s="39">
        <v>1580.25</v>
      </c>
      <c r="G340" s="36" t="s">
        <v>832</v>
      </c>
      <c r="H340" s="36" t="s">
        <v>56</v>
      </c>
      <c r="I340" s="36" t="s">
        <v>24</v>
      </c>
      <c r="J340" s="51" t="s">
        <v>398</v>
      </c>
      <c r="K340" s="36" t="s">
        <v>833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</row>
    <row r="341" spans="2:59" s="9" customFormat="1" ht="45" x14ac:dyDescent="0.25">
      <c r="B341" s="36">
        <v>338</v>
      </c>
      <c r="C341" s="36" t="s">
        <v>874</v>
      </c>
      <c r="D341" s="36" t="s">
        <v>5</v>
      </c>
      <c r="E341" s="36">
        <v>976</v>
      </c>
      <c r="F341" s="39">
        <v>976</v>
      </c>
      <c r="G341" s="36" t="s">
        <v>832</v>
      </c>
      <c r="H341" s="36" t="s">
        <v>56</v>
      </c>
      <c r="I341" s="36" t="s">
        <v>24</v>
      </c>
      <c r="J341" s="46" t="s">
        <v>3</v>
      </c>
      <c r="K341" s="36" t="s">
        <v>961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</row>
    <row r="342" spans="2:59" s="9" customFormat="1" ht="45" x14ac:dyDescent="0.25">
      <c r="B342" s="36">
        <v>339</v>
      </c>
      <c r="C342" s="36" t="s">
        <v>794</v>
      </c>
      <c r="D342" s="36" t="s">
        <v>5</v>
      </c>
      <c r="E342" s="36" t="s">
        <v>1204</v>
      </c>
      <c r="F342" s="39">
        <v>1200</v>
      </c>
      <c r="G342" s="36" t="s">
        <v>832</v>
      </c>
      <c r="H342" s="36" t="s">
        <v>834</v>
      </c>
      <c r="I342" s="36" t="s">
        <v>24</v>
      </c>
      <c r="J342" s="46" t="s">
        <v>3</v>
      </c>
      <c r="K342" s="36" t="s">
        <v>962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</row>
    <row r="343" spans="2:59" s="9" customFormat="1" ht="45" x14ac:dyDescent="0.25">
      <c r="B343" s="36">
        <v>340</v>
      </c>
      <c r="C343" s="36" t="s">
        <v>795</v>
      </c>
      <c r="D343" s="36" t="s">
        <v>110</v>
      </c>
      <c r="E343" s="36" t="s">
        <v>569</v>
      </c>
      <c r="F343" s="39">
        <v>2400</v>
      </c>
      <c r="G343" s="36" t="s">
        <v>832</v>
      </c>
      <c r="H343" s="36" t="s">
        <v>56</v>
      </c>
      <c r="I343" s="36" t="s">
        <v>24</v>
      </c>
      <c r="J343" s="46" t="s">
        <v>3</v>
      </c>
      <c r="K343" s="36" t="s">
        <v>963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</row>
    <row r="344" spans="2:59" s="9" customFormat="1" ht="45" x14ac:dyDescent="0.25">
      <c r="B344" s="36">
        <v>341</v>
      </c>
      <c r="C344" s="36" t="s">
        <v>796</v>
      </c>
      <c r="D344" s="36" t="s">
        <v>232</v>
      </c>
      <c r="E344" s="36" t="s">
        <v>1118</v>
      </c>
      <c r="F344" s="39">
        <v>3350</v>
      </c>
      <c r="G344" s="36" t="s">
        <v>835</v>
      </c>
      <c r="H344" s="36" t="s">
        <v>56</v>
      </c>
      <c r="I344" s="36" t="s">
        <v>24</v>
      </c>
      <c r="J344" s="46" t="s">
        <v>3</v>
      </c>
      <c r="K344" s="36" t="s">
        <v>964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</row>
    <row r="345" spans="2:59" s="9" customFormat="1" ht="90" x14ac:dyDescent="0.25">
      <c r="B345" s="36">
        <v>342</v>
      </c>
      <c r="C345" s="36" t="s">
        <v>797</v>
      </c>
      <c r="D345" s="36" t="s">
        <v>875</v>
      </c>
      <c r="E345" s="36" t="s">
        <v>2166</v>
      </c>
      <c r="F345" s="39" t="s">
        <v>2166</v>
      </c>
      <c r="G345" s="36" t="s">
        <v>832</v>
      </c>
      <c r="H345" s="36" t="s">
        <v>56</v>
      </c>
      <c r="I345" s="36" t="s">
        <v>24</v>
      </c>
      <c r="J345" s="51" t="s">
        <v>398</v>
      </c>
      <c r="K345" s="36" t="s">
        <v>965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</row>
    <row r="346" spans="2:59" s="9" customFormat="1" ht="67.5" customHeight="1" x14ac:dyDescent="0.25">
      <c r="B346" s="36">
        <v>343</v>
      </c>
      <c r="C346" s="36" t="s">
        <v>876</v>
      </c>
      <c r="D346" s="36" t="s">
        <v>671</v>
      </c>
      <c r="E346" s="36">
        <f>28698.45+3188.72+18177+20</f>
        <v>50084.17</v>
      </c>
      <c r="F346" s="39">
        <v>53472.23</v>
      </c>
      <c r="G346" s="36" t="s">
        <v>832</v>
      </c>
      <c r="H346" s="36" t="s">
        <v>56</v>
      </c>
      <c r="I346" s="36" t="s">
        <v>24</v>
      </c>
      <c r="J346" s="51" t="s">
        <v>398</v>
      </c>
      <c r="K346" s="36" t="s">
        <v>966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</row>
    <row r="347" spans="2:59" s="9" customFormat="1" ht="90" x14ac:dyDescent="0.25">
      <c r="B347" s="36">
        <v>344</v>
      </c>
      <c r="C347" s="36" t="s">
        <v>854</v>
      </c>
      <c r="D347" s="36" t="s">
        <v>855</v>
      </c>
      <c r="E347" s="36" t="s">
        <v>856</v>
      </c>
      <c r="F347" s="39">
        <v>26339.200000000001</v>
      </c>
      <c r="G347" s="36" t="s">
        <v>832</v>
      </c>
      <c r="H347" s="36" t="s">
        <v>56</v>
      </c>
      <c r="I347" s="36" t="s">
        <v>24</v>
      </c>
      <c r="J347" s="51" t="s">
        <v>398</v>
      </c>
      <c r="K347" s="36" t="s">
        <v>853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</row>
    <row r="348" spans="2:59" s="9" customFormat="1" ht="45" x14ac:dyDescent="0.25">
      <c r="B348" s="36">
        <v>345</v>
      </c>
      <c r="C348" s="36" t="s">
        <v>318</v>
      </c>
      <c r="D348" s="36" t="s">
        <v>278</v>
      </c>
      <c r="E348" s="36">
        <v>670</v>
      </c>
      <c r="F348" s="39">
        <v>670</v>
      </c>
      <c r="G348" s="36" t="s">
        <v>832</v>
      </c>
      <c r="H348" s="36" t="s">
        <v>56</v>
      </c>
      <c r="I348" s="36" t="s">
        <v>24</v>
      </c>
      <c r="J348" s="46" t="s">
        <v>3</v>
      </c>
      <c r="K348" s="36" t="s">
        <v>967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</row>
    <row r="349" spans="2:59" s="9" customFormat="1" ht="90" x14ac:dyDescent="0.25">
      <c r="B349" s="36">
        <v>346</v>
      </c>
      <c r="C349" s="36" t="s">
        <v>877</v>
      </c>
      <c r="D349" s="36" t="s">
        <v>878</v>
      </c>
      <c r="E349" s="36" t="s">
        <v>1763</v>
      </c>
      <c r="F349" s="39">
        <v>294000</v>
      </c>
      <c r="G349" s="36" t="s">
        <v>968</v>
      </c>
      <c r="H349" s="36" t="s">
        <v>56</v>
      </c>
      <c r="I349" s="36" t="s">
        <v>24</v>
      </c>
      <c r="J349" s="51" t="s">
        <v>398</v>
      </c>
      <c r="K349" s="36" t="s">
        <v>969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</row>
    <row r="350" spans="2:59" s="9" customFormat="1" ht="90" x14ac:dyDescent="0.25">
      <c r="B350" s="36">
        <v>347</v>
      </c>
      <c r="C350" s="36" t="s">
        <v>879</v>
      </c>
      <c r="D350" s="36" t="s">
        <v>880</v>
      </c>
      <c r="E350" s="36">
        <f>5310+9145+32922</f>
        <v>47377</v>
      </c>
      <c r="F350" s="39">
        <v>47377</v>
      </c>
      <c r="G350" s="36" t="s">
        <v>968</v>
      </c>
      <c r="H350" s="36" t="s">
        <v>56</v>
      </c>
      <c r="I350" s="36" t="s">
        <v>24</v>
      </c>
      <c r="J350" s="51" t="s">
        <v>398</v>
      </c>
      <c r="K350" s="36" t="s">
        <v>970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</row>
    <row r="351" spans="2:59" s="9" customFormat="1" ht="90" x14ac:dyDescent="0.25">
      <c r="B351" s="36">
        <v>348</v>
      </c>
      <c r="C351" s="36" t="s">
        <v>881</v>
      </c>
      <c r="D351" s="36" t="s">
        <v>338</v>
      </c>
      <c r="E351" s="36" t="s">
        <v>2997</v>
      </c>
      <c r="F351" s="39">
        <v>224000</v>
      </c>
      <c r="G351" s="36" t="s">
        <v>968</v>
      </c>
      <c r="H351" s="36" t="s">
        <v>56</v>
      </c>
      <c r="I351" s="36" t="s">
        <v>24</v>
      </c>
      <c r="J351" s="51" t="s">
        <v>398</v>
      </c>
      <c r="K351" s="36" t="s">
        <v>971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</row>
    <row r="352" spans="2:59" s="9" customFormat="1" ht="45" x14ac:dyDescent="0.25">
      <c r="B352" s="36">
        <v>349</v>
      </c>
      <c r="C352" s="36" t="s">
        <v>882</v>
      </c>
      <c r="D352" s="36" t="s">
        <v>108</v>
      </c>
      <c r="E352" s="36">
        <v>960</v>
      </c>
      <c r="F352" s="39">
        <v>1400</v>
      </c>
      <c r="G352" s="36" t="s">
        <v>968</v>
      </c>
      <c r="H352" s="36" t="s">
        <v>56</v>
      </c>
      <c r="I352" s="36" t="s">
        <v>24</v>
      </c>
      <c r="J352" s="46" t="s">
        <v>3</v>
      </c>
      <c r="K352" s="36" t="s">
        <v>972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</row>
    <row r="353" spans="1:59" s="9" customFormat="1" ht="90" x14ac:dyDescent="0.25">
      <c r="B353" s="36">
        <v>350</v>
      </c>
      <c r="C353" s="36" t="s">
        <v>883</v>
      </c>
      <c r="D353" s="36" t="s">
        <v>884</v>
      </c>
      <c r="E353" s="36" t="s">
        <v>2919</v>
      </c>
      <c r="F353" s="39" t="s">
        <v>2919</v>
      </c>
      <c r="G353" s="36" t="s">
        <v>968</v>
      </c>
      <c r="H353" s="36" t="s">
        <v>56</v>
      </c>
      <c r="I353" s="36" t="s">
        <v>24</v>
      </c>
      <c r="J353" s="51" t="s">
        <v>398</v>
      </c>
      <c r="K353" s="36" t="s">
        <v>973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</row>
    <row r="354" spans="1:59" s="9" customFormat="1" ht="67.5" customHeight="1" x14ac:dyDescent="0.25">
      <c r="B354" s="36">
        <v>351</v>
      </c>
      <c r="C354" s="36" t="s">
        <v>885</v>
      </c>
      <c r="D354" s="36" t="s">
        <v>884</v>
      </c>
      <c r="E354" s="36" t="s">
        <v>3049</v>
      </c>
      <c r="F354" s="39">
        <v>800000</v>
      </c>
      <c r="G354" s="36" t="s">
        <v>968</v>
      </c>
      <c r="H354" s="36" t="s">
        <v>56</v>
      </c>
      <c r="I354" s="36" t="s">
        <v>24</v>
      </c>
      <c r="J354" s="51" t="s">
        <v>398</v>
      </c>
      <c r="K354" s="36" t="s">
        <v>974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</row>
    <row r="355" spans="1:59" s="9" customFormat="1" ht="45" x14ac:dyDescent="0.25">
      <c r="B355" s="36">
        <v>352</v>
      </c>
      <c r="C355" s="36" t="s">
        <v>886</v>
      </c>
      <c r="D355" s="36" t="s">
        <v>232</v>
      </c>
      <c r="E355" s="36" t="s">
        <v>1124</v>
      </c>
      <c r="F355" s="39">
        <v>2187.5</v>
      </c>
      <c r="G355" s="36" t="s">
        <v>968</v>
      </c>
      <c r="H355" s="36" t="s">
        <v>56</v>
      </c>
      <c r="I355" s="36" t="s">
        <v>24</v>
      </c>
      <c r="J355" s="46" t="s">
        <v>3</v>
      </c>
      <c r="K355" s="36" t="s">
        <v>975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</row>
    <row r="356" spans="1:59" s="9" customFormat="1" ht="45" x14ac:dyDescent="0.25">
      <c r="B356" s="36">
        <v>353</v>
      </c>
      <c r="C356" s="36" t="s">
        <v>887</v>
      </c>
      <c r="D356" s="36" t="s">
        <v>5</v>
      </c>
      <c r="E356" s="36">
        <v>780</v>
      </c>
      <c r="F356" s="39">
        <v>780</v>
      </c>
      <c r="G356" s="36" t="s">
        <v>968</v>
      </c>
      <c r="H356" s="36" t="s">
        <v>56</v>
      </c>
      <c r="I356" s="36" t="s">
        <v>24</v>
      </c>
      <c r="J356" s="46" t="s">
        <v>3</v>
      </c>
      <c r="K356" s="36" t="s">
        <v>976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</row>
    <row r="357" spans="1:59" s="9" customFormat="1" ht="45" x14ac:dyDescent="0.25">
      <c r="B357" s="36">
        <v>354</v>
      </c>
      <c r="C357" s="36" t="s">
        <v>888</v>
      </c>
      <c r="D357" s="36" t="s">
        <v>108</v>
      </c>
      <c r="E357" s="36">
        <v>200</v>
      </c>
      <c r="F357" s="39">
        <v>200</v>
      </c>
      <c r="G357" s="36" t="s">
        <v>968</v>
      </c>
      <c r="H357" s="36" t="s">
        <v>56</v>
      </c>
      <c r="I357" s="36" t="s">
        <v>24</v>
      </c>
      <c r="J357" s="46" t="s">
        <v>3</v>
      </c>
      <c r="K357" s="36" t="s">
        <v>977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</row>
    <row r="358" spans="1:59" s="9" customFormat="1" ht="45" x14ac:dyDescent="0.25">
      <c r="B358" s="36">
        <v>355</v>
      </c>
      <c r="C358" s="36" t="s">
        <v>887</v>
      </c>
      <c r="D358" s="36" t="s">
        <v>108</v>
      </c>
      <c r="E358" s="36">
        <v>136.88</v>
      </c>
      <c r="F358" s="39">
        <v>240</v>
      </c>
      <c r="G358" s="36" t="s">
        <v>968</v>
      </c>
      <c r="H358" s="36" t="s">
        <v>56</v>
      </c>
      <c r="I358" s="36" t="s">
        <v>24</v>
      </c>
      <c r="J358" s="46" t="s">
        <v>3</v>
      </c>
      <c r="K358" s="36" t="s">
        <v>978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</row>
    <row r="359" spans="1:59" s="9" customFormat="1" ht="45" x14ac:dyDescent="0.25">
      <c r="B359" s="36">
        <v>356</v>
      </c>
      <c r="C359" s="36" t="s">
        <v>209</v>
      </c>
      <c r="D359" s="36" t="s">
        <v>110</v>
      </c>
      <c r="E359" s="36" t="s">
        <v>1123</v>
      </c>
      <c r="F359" s="39">
        <v>2200</v>
      </c>
      <c r="G359" s="36" t="s">
        <v>968</v>
      </c>
      <c r="H359" s="36" t="s">
        <v>56</v>
      </c>
      <c r="I359" s="36" t="s">
        <v>24</v>
      </c>
      <c r="J359" s="46" t="s">
        <v>3</v>
      </c>
      <c r="K359" s="36" t="s">
        <v>979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</row>
    <row r="360" spans="1:59" s="9" customFormat="1" ht="45" x14ac:dyDescent="0.25">
      <c r="B360" s="36">
        <v>357</v>
      </c>
      <c r="C360" s="36" t="s">
        <v>153</v>
      </c>
      <c r="D360" s="36" t="s">
        <v>108</v>
      </c>
      <c r="E360" s="36">
        <v>479.6</v>
      </c>
      <c r="F360" s="39">
        <v>479.6</v>
      </c>
      <c r="G360" s="36" t="s">
        <v>980</v>
      </c>
      <c r="H360" s="36" t="s">
        <v>56</v>
      </c>
      <c r="I360" s="36" t="s">
        <v>24</v>
      </c>
      <c r="J360" s="46" t="s">
        <v>3</v>
      </c>
      <c r="K360" s="36" t="s">
        <v>981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</row>
    <row r="361" spans="1:59" s="9" customFormat="1" ht="45" x14ac:dyDescent="0.25">
      <c r="B361" s="36">
        <v>358</v>
      </c>
      <c r="C361" s="36" t="s">
        <v>123</v>
      </c>
      <c r="D361" s="36" t="s">
        <v>108</v>
      </c>
      <c r="E361" s="36" t="s">
        <v>1136</v>
      </c>
      <c r="F361" s="39">
        <v>3080</v>
      </c>
      <c r="G361" s="36" t="s">
        <v>980</v>
      </c>
      <c r="H361" s="36" t="s">
        <v>56</v>
      </c>
      <c r="I361" s="36" t="s">
        <v>24</v>
      </c>
      <c r="J361" s="46" t="s">
        <v>3</v>
      </c>
      <c r="K361" s="36" t="s">
        <v>982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</row>
    <row r="362" spans="1:59" s="9" customFormat="1" ht="45" x14ac:dyDescent="0.25">
      <c r="B362" s="36">
        <v>359</v>
      </c>
      <c r="C362" s="36" t="s">
        <v>494</v>
      </c>
      <c r="D362" s="36" t="s">
        <v>110</v>
      </c>
      <c r="E362" s="36" t="s">
        <v>1117</v>
      </c>
      <c r="F362" s="39">
        <v>1300</v>
      </c>
      <c r="G362" s="36" t="s">
        <v>980</v>
      </c>
      <c r="H362" s="36" t="s">
        <v>56</v>
      </c>
      <c r="I362" s="36" t="s">
        <v>24</v>
      </c>
      <c r="J362" s="46" t="s">
        <v>3</v>
      </c>
      <c r="K362" s="36" t="s">
        <v>983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</row>
    <row r="363" spans="1:59" s="9" customFormat="1" ht="45" x14ac:dyDescent="0.25">
      <c r="B363" s="36">
        <v>360</v>
      </c>
      <c r="C363" s="36" t="s">
        <v>231</v>
      </c>
      <c r="D363" s="36" t="s">
        <v>232</v>
      </c>
      <c r="E363" s="36" t="s">
        <v>1122</v>
      </c>
      <c r="F363" s="39">
        <v>1000</v>
      </c>
      <c r="G363" s="36" t="s">
        <v>980</v>
      </c>
      <c r="H363" s="36" t="s">
        <v>56</v>
      </c>
      <c r="I363" s="36" t="s">
        <v>24</v>
      </c>
      <c r="J363" s="46" t="s">
        <v>3</v>
      </c>
      <c r="K363" s="36" t="s">
        <v>984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</row>
    <row r="364" spans="1:59" s="9" customFormat="1" ht="45" x14ac:dyDescent="0.25">
      <c r="B364" s="36">
        <v>361</v>
      </c>
      <c r="C364" s="36" t="s">
        <v>209</v>
      </c>
      <c r="D364" s="36" t="s">
        <v>110</v>
      </c>
      <c r="E364" s="36" t="s">
        <v>441</v>
      </c>
      <c r="F364" s="39">
        <v>1800</v>
      </c>
      <c r="G364" s="36" t="s">
        <v>980</v>
      </c>
      <c r="H364" s="36" t="s">
        <v>56</v>
      </c>
      <c r="I364" s="36" t="s">
        <v>24</v>
      </c>
      <c r="J364" s="46" t="s">
        <v>3</v>
      </c>
      <c r="K364" s="36" t="s">
        <v>985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</row>
    <row r="365" spans="1:59" s="9" customFormat="1" ht="45" x14ac:dyDescent="0.25">
      <c r="B365" s="36">
        <v>362</v>
      </c>
      <c r="C365" s="36" t="s">
        <v>264</v>
      </c>
      <c r="D365" s="36" t="s">
        <v>232</v>
      </c>
      <c r="E365" s="36">
        <v>500</v>
      </c>
      <c r="F365" s="39">
        <v>500</v>
      </c>
      <c r="G365" s="36" t="s">
        <v>980</v>
      </c>
      <c r="H365" s="36" t="s">
        <v>56</v>
      </c>
      <c r="I365" s="36" t="s">
        <v>24</v>
      </c>
      <c r="J365" s="46" t="s">
        <v>3</v>
      </c>
      <c r="K365" s="36" t="s">
        <v>986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</row>
    <row r="366" spans="1:59" s="9" customFormat="1" ht="45" x14ac:dyDescent="0.25">
      <c r="B366" s="36">
        <v>363</v>
      </c>
      <c r="C366" s="36" t="s">
        <v>760</v>
      </c>
      <c r="D366" s="36" t="s">
        <v>5</v>
      </c>
      <c r="E366" s="36" t="s">
        <v>1127</v>
      </c>
      <c r="F366" s="39">
        <v>7646.4</v>
      </c>
      <c r="G366" s="36" t="s">
        <v>980</v>
      </c>
      <c r="H366" s="36" t="s">
        <v>56</v>
      </c>
      <c r="I366" s="36" t="s">
        <v>24</v>
      </c>
      <c r="J366" s="46" t="s">
        <v>3</v>
      </c>
      <c r="K366" s="36" t="s">
        <v>987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</row>
    <row r="367" spans="1:59" s="9" customFormat="1" ht="45" x14ac:dyDescent="0.25">
      <c r="A367" s="31"/>
      <c r="B367" s="36">
        <v>364</v>
      </c>
      <c r="C367" s="58" t="s">
        <v>265</v>
      </c>
      <c r="D367" s="36" t="s">
        <v>110</v>
      </c>
      <c r="E367" s="36" t="s">
        <v>1128</v>
      </c>
      <c r="F367" s="39">
        <v>2050</v>
      </c>
      <c r="G367" s="36" t="s">
        <v>980</v>
      </c>
      <c r="H367" s="36" t="s">
        <v>56</v>
      </c>
      <c r="I367" s="36" t="s">
        <v>24</v>
      </c>
      <c r="J367" s="46" t="s">
        <v>3</v>
      </c>
      <c r="K367" s="36" t="s">
        <v>988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</row>
    <row r="368" spans="1:59" ht="45.75" x14ac:dyDescent="0.25">
      <c r="A368" s="29"/>
      <c r="B368" s="36">
        <v>365</v>
      </c>
      <c r="C368" s="36" t="s">
        <v>889</v>
      </c>
      <c r="D368" s="36" t="s">
        <v>890</v>
      </c>
      <c r="E368" s="36">
        <v>60</v>
      </c>
      <c r="F368" s="39">
        <v>60</v>
      </c>
      <c r="G368" s="36" t="s">
        <v>980</v>
      </c>
      <c r="H368" s="36" t="s">
        <v>56</v>
      </c>
      <c r="I368" s="36" t="s">
        <v>24</v>
      </c>
      <c r="J368" s="46" t="s">
        <v>6</v>
      </c>
      <c r="K368" s="36" t="s">
        <v>989</v>
      </c>
    </row>
    <row r="369" spans="1:59" s="9" customFormat="1" ht="90" x14ac:dyDescent="0.25">
      <c r="A369" s="31"/>
      <c r="B369" s="36">
        <v>366</v>
      </c>
      <c r="C369" s="36" t="s">
        <v>891</v>
      </c>
      <c r="D369" s="36" t="s">
        <v>892</v>
      </c>
      <c r="E369" s="36" t="s">
        <v>1121</v>
      </c>
      <c r="F369" s="39">
        <v>23985</v>
      </c>
      <c r="G369" s="36" t="s">
        <v>980</v>
      </c>
      <c r="H369" s="36" t="s">
        <v>56</v>
      </c>
      <c r="I369" s="36" t="s">
        <v>24</v>
      </c>
      <c r="J369" s="51" t="s">
        <v>112</v>
      </c>
      <c r="K369" s="36" t="s">
        <v>990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</row>
    <row r="370" spans="1:59" s="9" customFormat="1" ht="45" x14ac:dyDescent="0.25">
      <c r="A370" s="31"/>
      <c r="B370" s="36">
        <v>367</v>
      </c>
      <c r="C370" s="36" t="s">
        <v>120</v>
      </c>
      <c r="D370" s="36" t="s">
        <v>93</v>
      </c>
      <c r="E370" s="36" t="s">
        <v>1509</v>
      </c>
      <c r="F370" s="39">
        <v>10704.96</v>
      </c>
      <c r="G370" s="36" t="s">
        <v>980</v>
      </c>
      <c r="H370" s="36" t="s">
        <v>56</v>
      </c>
      <c r="I370" s="36" t="s">
        <v>24</v>
      </c>
      <c r="J370" s="46" t="s">
        <v>3</v>
      </c>
      <c r="K370" s="36" t="s">
        <v>991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</row>
    <row r="371" spans="1:59" s="9" customFormat="1" ht="45" x14ac:dyDescent="0.25">
      <c r="A371" s="31"/>
      <c r="B371" s="36">
        <v>368</v>
      </c>
      <c r="C371" s="36" t="s">
        <v>132</v>
      </c>
      <c r="D371" s="36" t="s">
        <v>93</v>
      </c>
      <c r="E371" s="36" t="s">
        <v>1513</v>
      </c>
      <c r="F371" s="39">
        <v>1180</v>
      </c>
      <c r="G371" s="36" t="s">
        <v>980</v>
      </c>
      <c r="H371" s="36" t="s">
        <v>56</v>
      </c>
      <c r="I371" s="36" t="s">
        <v>24</v>
      </c>
      <c r="J371" s="46" t="s">
        <v>3</v>
      </c>
      <c r="K371" s="36" t="s">
        <v>992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</row>
    <row r="372" spans="1:59" s="9" customFormat="1" ht="45" x14ac:dyDescent="0.25">
      <c r="A372" s="31"/>
      <c r="B372" s="36">
        <v>369</v>
      </c>
      <c r="C372" s="36" t="s">
        <v>153</v>
      </c>
      <c r="D372" s="36" t="s">
        <v>108</v>
      </c>
      <c r="E372" s="36">
        <v>237.6</v>
      </c>
      <c r="F372" s="39">
        <v>240</v>
      </c>
      <c r="G372" s="36" t="s">
        <v>980</v>
      </c>
      <c r="H372" s="36" t="s">
        <v>56</v>
      </c>
      <c r="I372" s="36" t="s">
        <v>24</v>
      </c>
      <c r="J372" s="46" t="s">
        <v>3</v>
      </c>
      <c r="K372" s="36" t="s">
        <v>993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</row>
    <row r="373" spans="1:59" s="9" customFormat="1" ht="45" x14ac:dyDescent="0.25">
      <c r="A373" s="31"/>
      <c r="B373" s="36">
        <v>370</v>
      </c>
      <c r="C373" s="36" t="s">
        <v>893</v>
      </c>
      <c r="D373" s="36" t="s">
        <v>108</v>
      </c>
      <c r="E373" s="36">
        <v>698.56</v>
      </c>
      <c r="F373" s="39">
        <v>780</v>
      </c>
      <c r="G373" s="36" t="s">
        <v>980</v>
      </c>
      <c r="H373" s="36" t="s">
        <v>56</v>
      </c>
      <c r="I373" s="36" t="s">
        <v>24</v>
      </c>
      <c r="J373" s="46" t="s">
        <v>3</v>
      </c>
      <c r="K373" s="36" t="s">
        <v>994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</row>
    <row r="374" spans="1:59" s="9" customFormat="1" ht="45" x14ac:dyDescent="0.25">
      <c r="A374" s="31"/>
      <c r="B374" s="36">
        <v>371</v>
      </c>
      <c r="C374" s="36" t="s">
        <v>894</v>
      </c>
      <c r="D374" s="36" t="s">
        <v>108</v>
      </c>
      <c r="E374" s="36">
        <v>391.76</v>
      </c>
      <c r="F374" s="39">
        <v>780</v>
      </c>
      <c r="G374" s="36" t="s">
        <v>980</v>
      </c>
      <c r="H374" s="36" t="s">
        <v>56</v>
      </c>
      <c r="I374" s="36" t="s">
        <v>24</v>
      </c>
      <c r="J374" s="46" t="s">
        <v>3</v>
      </c>
      <c r="K374" s="36" t="s">
        <v>995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</row>
    <row r="375" spans="1:59" ht="45" x14ac:dyDescent="0.25">
      <c r="A375" s="29"/>
      <c r="B375" s="36">
        <v>372</v>
      </c>
      <c r="C375" s="36" t="s">
        <v>760</v>
      </c>
      <c r="D375" s="36" t="s">
        <v>93</v>
      </c>
      <c r="E375" s="36">
        <v>708</v>
      </c>
      <c r="F375" s="39">
        <v>708</v>
      </c>
      <c r="G375" s="47" t="s">
        <v>996</v>
      </c>
      <c r="H375" s="41" t="s">
        <v>56</v>
      </c>
      <c r="I375" s="36" t="s">
        <v>24</v>
      </c>
      <c r="J375" s="46" t="s">
        <v>3</v>
      </c>
      <c r="K375" s="36" t="s">
        <v>997</v>
      </c>
    </row>
    <row r="376" spans="1:59" ht="45" x14ac:dyDescent="0.25">
      <c r="A376" s="29"/>
      <c r="B376" s="36">
        <v>373</v>
      </c>
      <c r="C376" s="36" t="s">
        <v>760</v>
      </c>
      <c r="D376" s="36" t="s">
        <v>93</v>
      </c>
      <c r="E376" s="36" t="s">
        <v>1572</v>
      </c>
      <c r="F376" s="39">
        <v>2832</v>
      </c>
      <c r="G376" s="47" t="s">
        <v>996</v>
      </c>
      <c r="H376" s="41" t="s">
        <v>56</v>
      </c>
      <c r="I376" s="36" t="s">
        <v>24</v>
      </c>
      <c r="J376" s="46" t="s">
        <v>3</v>
      </c>
      <c r="K376" s="36" t="s">
        <v>1126</v>
      </c>
    </row>
    <row r="377" spans="1:59" s="9" customFormat="1" ht="45" x14ac:dyDescent="0.25">
      <c r="A377" s="31"/>
      <c r="B377" s="36">
        <v>374</v>
      </c>
      <c r="C377" s="36" t="s">
        <v>895</v>
      </c>
      <c r="D377" s="36" t="s">
        <v>5</v>
      </c>
      <c r="E377" s="36" t="s">
        <v>1139</v>
      </c>
      <c r="F377" s="39">
        <v>1365</v>
      </c>
      <c r="G377" s="47" t="s">
        <v>996</v>
      </c>
      <c r="H377" s="41" t="s">
        <v>56</v>
      </c>
      <c r="I377" s="36" t="s">
        <v>24</v>
      </c>
      <c r="J377" s="46" t="s">
        <v>3</v>
      </c>
      <c r="K377" s="36" t="s">
        <v>998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</row>
    <row r="378" spans="1:59" s="9" customFormat="1" ht="45" x14ac:dyDescent="0.25">
      <c r="A378" s="31"/>
      <c r="B378" s="36">
        <v>375</v>
      </c>
      <c r="C378" s="36" t="s">
        <v>896</v>
      </c>
      <c r="D378" s="36" t="s">
        <v>5</v>
      </c>
      <c r="E378" s="36" t="s">
        <v>1138</v>
      </c>
      <c r="F378" s="39">
        <v>29258.87</v>
      </c>
      <c r="G378" s="47" t="s">
        <v>996</v>
      </c>
      <c r="H378" s="41" t="s">
        <v>56</v>
      </c>
      <c r="I378" s="36" t="s">
        <v>24</v>
      </c>
      <c r="J378" s="46" t="s">
        <v>3</v>
      </c>
      <c r="K378" s="36" t="s">
        <v>999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</row>
    <row r="379" spans="1:59" s="9" customFormat="1" ht="45" x14ac:dyDescent="0.25">
      <c r="A379" s="31"/>
      <c r="B379" s="36">
        <v>376</v>
      </c>
      <c r="C379" s="36" t="s">
        <v>897</v>
      </c>
      <c r="D379" s="36" t="s">
        <v>232</v>
      </c>
      <c r="E379" s="36" t="s">
        <v>1143</v>
      </c>
      <c r="F379" s="39">
        <v>2590</v>
      </c>
      <c r="G379" s="47" t="s">
        <v>996</v>
      </c>
      <c r="H379" s="41" t="s">
        <v>56</v>
      </c>
      <c r="I379" s="36" t="s">
        <v>24</v>
      </c>
      <c r="J379" s="46" t="s">
        <v>3</v>
      </c>
      <c r="K379" s="36" t="s">
        <v>1000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</row>
    <row r="380" spans="1:59" s="9" customFormat="1" ht="45" x14ac:dyDescent="0.25">
      <c r="A380" s="31"/>
      <c r="B380" s="36">
        <v>377</v>
      </c>
      <c r="C380" s="36" t="s">
        <v>898</v>
      </c>
      <c r="D380" s="36" t="s">
        <v>110</v>
      </c>
      <c r="E380" s="36" t="s">
        <v>1141</v>
      </c>
      <c r="F380" s="39">
        <v>5890</v>
      </c>
      <c r="G380" s="47" t="s">
        <v>996</v>
      </c>
      <c r="H380" s="41" t="s">
        <v>56</v>
      </c>
      <c r="I380" s="36" t="s">
        <v>24</v>
      </c>
      <c r="J380" s="46" t="s">
        <v>3</v>
      </c>
      <c r="K380" s="36" t="s">
        <v>1001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</row>
    <row r="381" spans="1:59" s="9" customFormat="1" ht="45" x14ac:dyDescent="0.25">
      <c r="A381" s="31"/>
      <c r="B381" s="36">
        <v>378</v>
      </c>
      <c r="C381" s="36" t="s">
        <v>92</v>
      </c>
      <c r="D381" s="36" t="s">
        <v>5</v>
      </c>
      <c r="E381" s="36" t="s">
        <v>1142</v>
      </c>
      <c r="F381" s="39">
        <v>3895.51</v>
      </c>
      <c r="G381" s="47" t="s">
        <v>996</v>
      </c>
      <c r="H381" s="41" t="s">
        <v>56</v>
      </c>
      <c r="I381" s="36" t="s">
        <v>24</v>
      </c>
      <c r="J381" s="46" t="s">
        <v>3</v>
      </c>
      <c r="K381" s="36" t="s">
        <v>1002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</row>
    <row r="382" spans="1:59" s="9" customFormat="1" ht="11.25" x14ac:dyDescent="0.25">
      <c r="A382" s="31"/>
      <c r="B382" s="36">
        <v>379</v>
      </c>
      <c r="C382" s="36" t="s">
        <v>899</v>
      </c>
      <c r="D382" s="36" t="s">
        <v>900</v>
      </c>
      <c r="E382" s="36">
        <f>178.4+2550+3600+600+7800+112+42</f>
        <v>14882.4</v>
      </c>
      <c r="F382" s="39">
        <v>15000</v>
      </c>
      <c r="G382" s="47" t="s">
        <v>1003</v>
      </c>
      <c r="H382" s="41" t="s">
        <v>28</v>
      </c>
      <c r="I382" s="36" t="s">
        <v>9</v>
      </c>
      <c r="J382" s="46" t="s">
        <v>1004</v>
      </c>
      <c r="K382" s="3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</row>
    <row r="383" spans="1:59" s="9" customFormat="1" ht="90" x14ac:dyDescent="0.25">
      <c r="B383" s="36">
        <v>380</v>
      </c>
      <c r="C383" s="36" t="s">
        <v>901</v>
      </c>
      <c r="D383" s="36" t="s">
        <v>902</v>
      </c>
      <c r="E383" s="36" t="s">
        <v>579</v>
      </c>
      <c r="F383" s="39">
        <v>1500</v>
      </c>
      <c r="G383" s="47" t="s">
        <v>1003</v>
      </c>
      <c r="H383" s="41" t="s">
        <v>56</v>
      </c>
      <c r="I383" s="36" t="s">
        <v>24</v>
      </c>
      <c r="J383" s="51" t="s">
        <v>112</v>
      </c>
      <c r="K383" s="36" t="s">
        <v>1005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</row>
    <row r="384" spans="1:59" s="3" customFormat="1" ht="45" x14ac:dyDescent="0.25">
      <c r="B384" s="36">
        <v>381</v>
      </c>
      <c r="C384" s="36" t="s">
        <v>120</v>
      </c>
      <c r="D384" s="36" t="s">
        <v>93</v>
      </c>
      <c r="E384" s="36" t="s">
        <v>1132</v>
      </c>
      <c r="F384" s="39">
        <v>1194.1600000000001</v>
      </c>
      <c r="G384" s="47" t="s">
        <v>1003</v>
      </c>
      <c r="H384" s="41" t="s">
        <v>56</v>
      </c>
      <c r="I384" s="36" t="s">
        <v>24</v>
      </c>
      <c r="J384" s="46" t="s">
        <v>3</v>
      </c>
      <c r="K384" s="36" t="s">
        <v>1006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</row>
    <row r="385" spans="2:59" s="3" customFormat="1" ht="45" x14ac:dyDescent="0.25">
      <c r="B385" s="36">
        <v>382</v>
      </c>
      <c r="C385" s="36" t="s">
        <v>861</v>
      </c>
      <c r="D385" s="36" t="s">
        <v>232</v>
      </c>
      <c r="E385" s="36">
        <v>987.5</v>
      </c>
      <c r="F385" s="39">
        <v>987.5</v>
      </c>
      <c r="G385" s="47" t="s">
        <v>1003</v>
      </c>
      <c r="H385" s="41" t="s">
        <v>56</v>
      </c>
      <c r="I385" s="36" t="s">
        <v>24</v>
      </c>
      <c r="J385" s="46" t="s">
        <v>3</v>
      </c>
      <c r="K385" s="36" t="s">
        <v>1007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</row>
    <row r="386" spans="2:59" s="9" customFormat="1" ht="45" x14ac:dyDescent="0.25">
      <c r="B386" s="36">
        <v>383</v>
      </c>
      <c r="C386" s="36" t="s">
        <v>903</v>
      </c>
      <c r="D386" s="36" t="s">
        <v>110</v>
      </c>
      <c r="E386" s="36">
        <v>950</v>
      </c>
      <c r="F386" s="39">
        <v>950</v>
      </c>
      <c r="G386" s="47" t="s">
        <v>1003</v>
      </c>
      <c r="H386" s="41" t="s">
        <v>56</v>
      </c>
      <c r="I386" s="36" t="s">
        <v>24</v>
      </c>
      <c r="J386" s="46" t="s">
        <v>3</v>
      </c>
      <c r="K386" s="36" t="s">
        <v>1008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</row>
    <row r="387" spans="2:59" s="9" customFormat="1" ht="45" x14ac:dyDescent="0.25">
      <c r="B387" s="36">
        <v>385</v>
      </c>
      <c r="C387" s="36" t="s">
        <v>126</v>
      </c>
      <c r="D387" s="36" t="s">
        <v>108</v>
      </c>
      <c r="E387" s="36" t="s">
        <v>3044</v>
      </c>
      <c r="F387" s="59">
        <v>3000</v>
      </c>
      <c r="G387" s="47" t="s">
        <v>1003</v>
      </c>
      <c r="H387" s="41" t="s">
        <v>28</v>
      </c>
      <c r="I387" s="36" t="s">
        <v>24</v>
      </c>
      <c r="J387" s="46" t="s">
        <v>3</v>
      </c>
      <c r="K387" s="36" t="s">
        <v>1009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</row>
    <row r="388" spans="2:59" s="9" customFormat="1" ht="45" x14ac:dyDescent="0.25">
      <c r="B388" s="36">
        <v>386</v>
      </c>
      <c r="C388" s="36" t="s">
        <v>266</v>
      </c>
      <c r="D388" s="36" t="s">
        <v>108</v>
      </c>
      <c r="E388" s="36">
        <f>99+198.7+230.15+244.6+123.4+84.15+148.2+191.9+139.95+246.25+210.35+929.9</f>
        <v>2846.55</v>
      </c>
      <c r="F388" s="39">
        <v>6000</v>
      </c>
      <c r="G388" s="47" t="s">
        <v>1003</v>
      </c>
      <c r="H388" s="41" t="s">
        <v>28</v>
      </c>
      <c r="I388" s="36" t="s">
        <v>24</v>
      </c>
      <c r="J388" s="46" t="s">
        <v>3</v>
      </c>
      <c r="K388" s="36" t="s">
        <v>1010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</row>
    <row r="389" spans="2:59" s="9" customFormat="1" ht="45" x14ac:dyDescent="0.25">
      <c r="B389" s="36">
        <v>387</v>
      </c>
      <c r="C389" s="36" t="s">
        <v>153</v>
      </c>
      <c r="D389" s="36" t="s">
        <v>108</v>
      </c>
      <c r="E389" s="36">
        <f>599.5+119.9+837.1+539+179.3+473+179.3+119.9+59.95+179.3+300 +599.5+59.4</f>
        <v>4245.1499999999996</v>
      </c>
      <c r="F389" s="39">
        <v>6000</v>
      </c>
      <c r="G389" s="47" t="s">
        <v>1003</v>
      </c>
      <c r="H389" s="41" t="s">
        <v>28</v>
      </c>
      <c r="I389" s="36" t="s">
        <v>24</v>
      </c>
      <c r="J389" s="46" t="s">
        <v>3</v>
      </c>
      <c r="K389" s="36" t="s">
        <v>1011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</row>
    <row r="390" spans="2:59" s="9" customFormat="1" ht="90" x14ac:dyDescent="0.25">
      <c r="B390" s="36">
        <v>389</v>
      </c>
      <c r="C390" s="36" t="s">
        <v>904</v>
      </c>
      <c r="D390" s="36" t="s">
        <v>905</v>
      </c>
      <c r="E390" s="36" t="s">
        <v>1521</v>
      </c>
      <c r="F390" s="39">
        <v>381059</v>
      </c>
      <c r="G390" s="47" t="s">
        <v>1003</v>
      </c>
      <c r="H390" s="41" t="s">
        <v>28</v>
      </c>
      <c r="I390" s="36" t="s">
        <v>24</v>
      </c>
      <c r="J390" s="51" t="s">
        <v>398</v>
      </c>
      <c r="K390" s="36" t="s">
        <v>1012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</row>
    <row r="391" spans="2:59" s="9" customFormat="1" ht="90" x14ac:dyDescent="0.25">
      <c r="B391" s="36">
        <v>390</v>
      </c>
      <c r="C391" s="36" t="s">
        <v>498</v>
      </c>
      <c r="D391" s="36" t="s">
        <v>906</v>
      </c>
      <c r="E391" s="36" t="s">
        <v>1131</v>
      </c>
      <c r="F391" s="39">
        <v>1500</v>
      </c>
      <c r="G391" s="47" t="s">
        <v>1003</v>
      </c>
      <c r="H391" s="41" t="s">
        <v>56</v>
      </c>
      <c r="I391" s="36" t="s">
        <v>24</v>
      </c>
      <c r="J391" s="51" t="s">
        <v>398</v>
      </c>
      <c r="K391" s="36" t="s">
        <v>1013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</row>
    <row r="392" spans="2:59" s="9" customFormat="1" ht="45" x14ac:dyDescent="0.25">
      <c r="B392" s="36">
        <v>391</v>
      </c>
      <c r="C392" s="36" t="s">
        <v>907</v>
      </c>
      <c r="D392" s="36" t="s">
        <v>278</v>
      </c>
      <c r="E392" s="36" t="s">
        <v>1133</v>
      </c>
      <c r="F392" s="39">
        <v>13583</v>
      </c>
      <c r="G392" s="47" t="s">
        <v>1003</v>
      </c>
      <c r="H392" s="41" t="s">
        <v>56</v>
      </c>
      <c r="I392" s="36" t="s">
        <v>24</v>
      </c>
      <c r="J392" s="46" t="s">
        <v>3</v>
      </c>
      <c r="K392" s="36" t="s">
        <v>1014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</row>
    <row r="393" spans="2:59" s="9" customFormat="1" ht="45" x14ac:dyDescent="0.25">
      <c r="B393" s="36">
        <v>392</v>
      </c>
      <c r="C393" s="60" t="s">
        <v>277</v>
      </c>
      <c r="D393" s="36" t="s">
        <v>278</v>
      </c>
      <c r="E393" s="60" t="s">
        <v>1134</v>
      </c>
      <c r="F393" s="59">
        <v>30285.4</v>
      </c>
      <c r="G393" s="47" t="s">
        <v>1003</v>
      </c>
      <c r="H393" s="41" t="s">
        <v>56</v>
      </c>
      <c r="I393" s="36" t="s">
        <v>24</v>
      </c>
      <c r="J393" s="46" t="s">
        <v>3</v>
      </c>
      <c r="K393" s="36" t="s">
        <v>1015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</row>
    <row r="394" spans="2:59" s="9" customFormat="1" ht="90" x14ac:dyDescent="0.25">
      <c r="B394" s="36">
        <v>393</v>
      </c>
      <c r="C394" s="60" t="s">
        <v>908</v>
      </c>
      <c r="D394" s="36" t="s">
        <v>909</v>
      </c>
      <c r="E394" s="39">
        <f>23214.57+100000*4+76785.43</f>
        <v>500000</v>
      </c>
      <c r="F394" s="39">
        <v>500000</v>
      </c>
      <c r="G394" s="47" t="s">
        <v>1016</v>
      </c>
      <c r="H394" s="41" t="s">
        <v>56</v>
      </c>
      <c r="I394" s="36" t="s">
        <v>24</v>
      </c>
      <c r="J394" s="51" t="s">
        <v>398</v>
      </c>
      <c r="K394" s="36" t="s">
        <v>1017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</row>
    <row r="395" spans="2:59" s="9" customFormat="1" ht="45" x14ac:dyDescent="0.25">
      <c r="B395" s="36">
        <v>394</v>
      </c>
      <c r="C395" s="36" t="s">
        <v>893</v>
      </c>
      <c r="D395" s="36" t="s">
        <v>108</v>
      </c>
      <c r="E395" s="36" t="s">
        <v>1137</v>
      </c>
      <c r="F395" s="39">
        <v>1800</v>
      </c>
      <c r="G395" s="47" t="s">
        <v>1016</v>
      </c>
      <c r="H395" s="41" t="s">
        <v>56</v>
      </c>
      <c r="I395" s="36" t="s">
        <v>24</v>
      </c>
      <c r="J395" s="46" t="s">
        <v>3</v>
      </c>
      <c r="K395" s="36" t="s">
        <v>1018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</row>
    <row r="396" spans="2:59" s="9" customFormat="1" ht="45" x14ac:dyDescent="0.25">
      <c r="B396" s="36">
        <v>395</v>
      </c>
      <c r="C396" s="36" t="s">
        <v>910</v>
      </c>
      <c r="D396" s="36" t="s">
        <v>108</v>
      </c>
      <c r="E396" s="36" t="s">
        <v>1135</v>
      </c>
      <c r="F396" s="39">
        <v>1900</v>
      </c>
      <c r="G396" s="47" t="s">
        <v>1019</v>
      </c>
      <c r="H396" s="41" t="s">
        <v>56</v>
      </c>
      <c r="I396" s="36" t="s">
        <v>24</v>
      </c>
      <c r="J396" s="46" t="s">
        <v>3</v>
      </c>
      <c r="K396" s="36" t="s">
        <v>1020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</row>
    <row r="397" spans="2:59" s="9" customFormat="1" ht="45.75" x14ac:dyDescent="0.25">
      <c r="B397" s="36">
        <v>396</v>
      </c>
      <c r="C397" s="36" t="s">
        <v>911</v>
      </c>
      <c r="D397" s="36" t="s">
        <v>912</v>
      </c>
      <c r="E397" s="36" t="s">
        <v>1146</v>
      </c>
      <c r="F397" s="39">
        <v>4485</v>
      </c>
      <c r="G397" s="47" t="s">
        <v>1021</v>
      </c>
      <c r="H397" s="41" t="s">
        <v>56</v>
      </c>
      <c r="I397" s="36" t="s">
        <v>24</v>
      </c>
      <c r="J397" s="46" t="s">
        <v>6</v>
      </c>
      <c r="K397" s="36" t="s">
        <v>1022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</row>
    <row r="398" spans="2:59" s="9" customFormat="1" ht="90" x14ac:dyDescent="0.25">
      <c r="B398" s="36">
        <v>397</v>
      </c>
      <c r="C398" s="36" t="s">
        <v>913</v>
      </c>
      <c r="D398" s="36" t="s">
        <v>338</v>
      </c>
      <c r="E398" s="36">
        <v>293994.8</v>
      </c>
      <c r="F398" s="61">
        <v>293994.8</v>
      </c>
      <c r="G398" s="47" t="s">
        <v>1021</v>
      </c>
      <c r="H398" s="41" t="s">
        <v>56</v>
      </c>
      <c r="I398" s="36" t="s">
        <v>24</v>
      </c>
      <c r="J398" s="51" t="s">
        <v>398</v>
      </c>
      <c r="K398" s="36" t="s">
        <v>1023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</row>
    <row r="399" spans="2:59" s="9" customFormat="1" ht="90" x14ac:dyDescent="0.25">
      <c r="B399" s="36">
        <v>398</v>
      </c>
      <c r="C399" s="36" t="s">
        <v>914</v>
      </c>
      <c r="D399" s="36" t="s">
        <v>915</v>
      </c>
      <c r="E399" s="36" t="s">
        <v>1224</v>
      </c>
      <c r="F399" s="39">
        <v>1920</v>
      </c>
      <c r="G399" s="47" t="s">
        <v>1021</v>
      </c>
      <c r="H399" s="41" t="s">
        <v>56</v>
      </c>
      <c r="I399" s="36" t="s">
        <v>24</v>
      </c>
      <c r="J399" s="51" t="s">
        <v>398</v>
      </c>
      <c r="K399" s="36" t="s">
        <v>1024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</row>
    <row r="400" spans="2:59" s="9" customFormat="1" ht="90" x14ac:dyDescent="0.25">
      <c r="B400" s="36">
        <v>399</v>
      </c>
      <c r="C400" s="36" t="s">
        <v>260</v>
      </c>
      <c r="D400" s="62" t="s">
        <v>916</v>
      </c>
      <c r="E400" s="62" t="s">
        <v>2563</v>
      </c>
      <c r="F400" s="39">
        <v>34500</v>
      </c>
      <c r="G400" s="47" t="s">
        <v>1021</v>
      </c>
      <c r="H400" s="41" t="s">
        <v>56</v>
      </c>
      <c r="I400" s="36" t="s">
        <v>24</v>
      </c>
      <c r="J400" s="51" t="s">
        <v>112</v>
      </c>
      <c r="K400" s="36" t="s">
        <v>1025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</row>
    <row r="401" spans="1:59" s="9" customFormat="1" ht="90" x14ac:dyDescent="0.25">
      <c r="B401" s="36">
        <v>400</v>
      </c>
      <c r="C401" s="36" t="s">
        <v>680</v>
      </c>
      <c r="D401" s="62" t="s">
        <v>917</v>
      </c>
      <c r="E401" s="62" t="s">
        <v>1500</v>
      </c>
      <c r="F401" s="39">
        <v>3500</v>
      </c>
      <c r="G401" s="47" t="s">
        <v>1026</v>
      </c>
      <c r="H401" s="41" t="s">
        <v>56</v>
      </c>
      <c r="I401" s="36" t="s">
        <v>24</v>
      </c>
      <c r="J401" s="51" t="s">
        <v>398</v>
      </c>
      <c r="K401" s="36" t="s">
        <v>1027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</row>
    <row r="402" spans="1:59" s="9" customFormat="1" ht="45.75" x14ac:dyDescent="0.25">
      <c r="B402" s="36">
        <v>401</v>
      </c>
      <c r="C402" s="36" t="s">
        <v>918</v>
      </c>
      <c r="D402" s="36" t="s">
        <v>919</v>
      </c>
      <c r="E402" s="36">
        <v>55.6</v>
      </c>
      <c r="F402" s="39">
        <v>55.6</v>
      </c>
      <c r="G402" s="47" t="s">
        <v>1026</v>
      </c>
      <c r="H402" s="41" t="s">
        <v>56</v>
      </c>
      <c r="I402" s="36" t="s">
        <v>24</v>
      </c>
      <c r="J402" s="46" t="s">
        <v>6</v>
      </c>
      <c r="K402" s="36" t="s">
        <v>1028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</row>
    <row r="403" spans="1:59" s="9" customFormat="1" ht="45.75" x14ac:dyDescent="0.25">
      <c r="B403" s="36">
        <v>402</v>
      </c>
      <c r="C403" s="36" t="s">
        <v>918</v>
      </c>
      <c r="D403" s="36" t="s">
        <v>920</v>
      </c>
      <c r="E403" s="36">
        <v>9.57</v>
      </c>
      <c r="F403" s="39">
        <v>9.57</v>
      </c>
      <c r="G403" s="47" t="s">
        <v>1026</v>
      </c>
      <c r="H403" s="41" t="s">
        <v>56</v>
      </c>
      <c r="I403" s="36" t="s">
        <v>24</v>
      </c>
      <c r="J403" s="46" t="s">
        <v>6</v>
      </c>
      <c r="K403" s="36" t="s">
        <v>1029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</row>
    <row r="404" spans="1:59" s="9" customFormat="1" ht="45" x14ac:dyDescent="0.25">
      <c r="B404" s="36">
        <v>403</v>
      </c>
      <c r="C404" s="36" t="s">
        <v>921</v>
      </c>
      <c r="D404" s="36" t="s">
        <v>922</v>
      </c>
      <c r="E404" s="36">
        <v>23999</v>
      </c>
      <c r="F404" s="39">
        <v>23999</v>
      </c>
      <c r="G404" s="47" t="s">
        <v>1030</v>
      </c>
      <c r="H404" s="41" t="s">
        <v>56</v>
      </c>
      <c r="I404" s="36" t="s">
        <v>24</v>
      </c>
      <c r="J404" s="46" t="s">
        <v>1031</v>
      </c>
      <c r="K404" s="3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</row>
    <row r="405" spans="1:59" s="9" customFormat="1" ht="45" x14ac:dyDescent="0.25">
      <c r="B405" s="36">
        <v>404</v>
      </c>
      <c r="C405" s="36" t="s">
        <v>470</v>
      </c>
      <c r="D405" s="36" t="s">
        <v>93</v>
      </c>
      <c r="E405" s="36" t="s">
        <v>1217</v>
      </c>
      <c r="F405" s="39">
        <v>1105</v>
      </c>
      <c r="G405" s="47" t="s">
        <v>1032</v>
      </c>
      <c r="H405" s="41" t="s">
        <v>56</v>
      </c>
      <c r="I405" s="36" t="s">
        <v>24</v>
      </c>
      <c r="J405" s="46" t="s">
        <v>3</v>
      </c>
      <c r="K405" s="36" t="s">
        <v>1033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</row>
    <row r="406" spans="1:59" s="9" customFormat="1" ht="45" x14ac:dyDescent="0.25">
      <c r="B406" s="36">
        <v>405</v>
      </c>
      <c r="C406" s="58" t="s">
        <v>760</v>
      </c>
      <c r="D406" s="36" t="s">
        <v>5</v>
      </c>
      <c r="E406" s="36" t="s">
        <v>1315</v>
      </c>
      <c r="F406" s="39">
        <v>2999.5</v>
      </c>
      <c r="G406" s="47" t="s">
        <v>1032</v>
      </c>
      <c r="H406" s="41" t="s">
        <v>56</v>
      </c>
      <c r="I406" s="36" t="s">
        <v>24</v>
      </c>
      <c r="J406" s="46" t="s">
        <v>3</v>
      </c>
      <c r="K406" s="36" t="s">
        <v>1034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</row>
    <row r="407" spans="1:59" s="9" customFormat="1" ht="45" x14ac:dyDescent="0.25">
      <c r="B407" s="36">
        <v>406</v>
      </c>
      <c r="C407" s="36" t="s">
        <v>923</v>
      </c>
      <c r="D407" s="36" t="s">
        <v>5</v>
      </c>
      <c r="E407" s="36">
        <v>490</v>
      </c>
      <c r="F407" s="39">
        <v>490</v>
      </c>
      <c r="G407" s="47" t="s">
        <v>1035</v>
      </c>
      <c r="H407" s="41" t="s">
        <v>56</v>
      </c>
      <c r="I407" s="36" t="s">
        <v>24</v>
      </c>
      <c r="J407" s="46" t="s">
        <v>3</v>
      </c>
      <c r="K407" s="36" t="s">
        <v>1036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</row>
    <row r="408" spans="1:59" s="9" customFormat="1" ht="45" x14ac:dyDescent="0.25">
      <c r="B408" s="36">
        <v>407</v>
      </c>
      <c r="C408" s="52" t="s">
        <v>265</v>
      </c>
      <c r="D408" s="36" t="s">
        <v>110</v>
      </c>
      <c r="E408" s="36">
        <v>750</v>
      </c>
      <c r="F408" s="39">
        <v>750</v>
      </c>
      <c r="G408" s="47" t="s">
        <v>1035</v>
      </c>
      <c r="H408" s="41" t="s">
        <v>56</v>
      </c>
      <c r="I408" s="36" t="s">
        <v>24</v>
      </c>
      <c r="J408" s="46" t="s">
        <v>3</v>
      </c>
      <c r="K408" s="36" t="s">
        <v>1037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</row>
    <row r="409" spans="1:59" s="9" customFormat="1" ht="45" x14ac:dyDescent="0.25">
      <c r="B409" s="36">
        <v>408</v>
      </c>
      <c r="C409" s="36" t="s">
        <v>277</v>
      </c>
      <c r="D409" s="36" t="s">
        <v>278</v>
      </c>
      <c r="E409" s="36" t="s">
        <v>1212</v>
      </c>
      <c r="F409" s="39">
        <v>4268</v>
      </c>
      <c r="G409" s="47" t="s">
        <v>1035</v>
      </c>
      <c r="H409" s="41" t="s">
        <v>56</v>
      </c>
      <c r="I409" s="36" t="s">
        <v>24</v>
      </c>
      <c r="J409" s="46" t="s">
        <v>3</v>
      </c>
      <c r="K409" s="36" t="s">
        <v>1038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</row>
    <row r="410" spans="1:59" s="9" customFormat="1" ht="45" x14ac:dyDescent="0.25">
      <c r="B410" s="36">
        <v>409</v>
      </c>
      <c r="C410" s="36" t="s">
        <v>924</v>
      </c>
      <c r="D410" s="36" t="s">
        <v>110</v>
      </c>
      <c r="E410" s="36" t="s">
        <v>1203</v>
      </c>
      <c r="F410" s="39">
        <v>2540</v>
      </c>
      <c r="G410" s="47" t="s">
        <v>1039</v>
      </c>
      <c r="H410" s="41" t="s">
        <v>56</v>
      </c>
      <c r="I410" s="36" t="s">
        <v>24</v>
      </c>
      <c r="J410" s="46" t="s">
        <v>3</v>
      </c>
      <c r="K410" s="36" t="s">
        <v>1040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</row>
    <row r="411" spans="1:59" s="9" customFormat="1" ht="45" x14ac:dyDescent="0.25">
      <c r="B411" s="36">
        <v>410</v>
      </c>
      <c r="C411" s="36" t="s">
        <v>154</v>
      </c>
      <c r="D411" s="36" t="s">
        <v>108</v>
      </c>
      <c r="E411" s="36" t="s">
        <v>1573</v>
      </c>
      <c r="F411" s="39">
        <v>3130</v>
      </c>
      <c r="G411" s="47" t="s">
        <v>1039</v>
      </c>
      <c r="H411" s="41" t="s">
        <v>56</v>
      </c>
      <c r="I411" s="36" t="s">
        <v>24</v>
      </c>
      <c r="J411" s="46" t="s">
        <v>3</v>
      </c>
      <c r="K411" s="36" t="s">
        <v>1041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</row>
    <row r="412" spans="1:59" s="9" customFormat="1" ht="45" x14ac:dyDescent="0.25">
      <c r="B412" s="36">
        <v>411</v>
      </c>
      <c r="C412" s="36" t="s">
        <v>265</v>
      </c>
      <c r="D412" s="36" t="s">
        <v>110</v>
      </c>
      <c r="E412" s="36" t="s">
        <v>1202</v>
      </c>
      <c r="F412" s="39">
        <v>1265</v>
      </c>
      <c r="G412" s="47" t="s">
        <v>1039</v>
      </c>
      <c r="H412" s="41" t="s">
        <v>56</v>
      </c>
      <c r="I412" s="36" t="s">
        <v>24</v>
      </c>
      <c r="J412" s="46" t="s">
        <v>3</v>
      </c>
      <c r="K412" s="36" t="s">
        <v>1042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</row>
    <row r="413" spans="1:59" s="9" customFormat="1" ht="45" x14ac:dyDescent="0.25">
      <c r="A413" s="31"/>
      <c r="B413" s="36">
        <v>412</v>
      </c>
      <c r="C413" s="52" t="s">
        <v>264</v>
      </c>
      <c r="D413" s="36" t="s">
        <v>232</v>
      </c>
      <c r="E413" s="36">
        <v>475</v>
      </c>
      <c r="F413" s="39">
        <v>475</v>
      </c>
      <c r="G413" s="47" t="s">
        <v>1039</v>
      </c>
      <c r="H413" s="41" t="s">
        <v>56</v>
      </c>
      <c r="I413" s="36" t="s">
        <v>24</v>
      </c>
      <c r="J413" s="46" t="s">
        <v>3</v>
      </c>
      <c r="K413" s="36" t="s">
        <v>1043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</row>
    <row r="414" spans="1:59" s="9" customFormat="1" ht="11.25" x14ac:dyDescent="0.25">
      <c r="A414" s="31"/>
      <c r="B414" s="36">
        <v>413</v>
      </c>
      <c r="C414" s="36" t="s">
        <v>140</v>
      </c>
      <c r="D414" s="36" t="s">
        <v>925</v>
      </c>
      <c r="E414" s="36" t="s">
        <v>1574</v>
      </c>
      <c r="F414" s="39">
        <v>11890</v>
      </c>
      <c r="G414" s="47" t="s">
        <v>1039</v>
      </c>
      <c r="H414" s="41" t="s">
        <v>56</v>
      </c>
      <c r="I414" s="36" t="s">
        <v>7</v>
      </c>
      <c r="J414" s="46"/>
      <c r="K414" s="36" t="s">
        <v>1044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</row>
    <row r="415" spans="1:59" s="9" customFormat="1" ht="11.25" x14ac:dyDescent="0.25">
      <c r="A415" s="31"/>
      <c r="B415" s="36">
        <v>414</v>
      </c>
      <c r="C415" s="52" t="s">
        <v>347</v>
      </c>
      <c r="D415" s="36" t="s">
        <v>925</v>
      </c>
      <c r="E415" s="36" t="s">
        <v>1197</v>
      </c>
      <c r="F415" s="39">
        <v>63112</v>
      </c>
      <c r="G415" s="47" t="s">
        <v>1039</v>
      </c>
      <c r="H415" s="41" t="s">
        <v>56</v>
      </c>
      <c r="I415" s="36" t="s">
        <v>7</v>
      </c>
      <c r="J415" s="46"/>
      <c r="K415" s="36" t="s">
        <v>1045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</row>
    <row r="416" spans="1:59" s="9" customFormat="1" ht="45" x14ac:dyDescent="0.25">
      <c r="A416" s="31"/>
      <c r="B416" s="36">
        <v>415</v>
      </c>
      <c r="C416" s="36" t="s">
        <v>760</v>
      </c>
      <c r="D416" s="36" t="s">
        <v>93</v>
      </c>
      <c r="E416" s="36">
        <v>354</v>
      </c>
      <c r="F416" s="39">
        <v>354</v>
      </c>
      <c r="G416" s="47" t="s">
        <v>1039</v>
      </c>
      <c r="H416" s="41" t="s">
        <v>56</v>
      </c>
      <c r="I416" s="36" t="s">
        <v>24</v>
      </c>
      <c r="J416" s="46" t="s">
        <v>3</v>
      </c>
      <c r="K416" s="36" t="s">
        <v>1046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</row>
    <row r="417" spans="1:59" s="9" customFormat="1" ht="45.75" x14ac:dyDescent="0.25">
      <c r="A417" s="31"/>
      <c r="B417" s="36">
        <v>416</v>
      </c>
      <c r="C417" s="36" t="s">
        <v>926</v>
      </c>
      <c r="D417" s="36" t="s">
        <v>927</v>
      </c>
      <c r="E417" s="36">
        <f>623.75*8</f>
        <v>4990</v>
      </c>
      <c r="F417" s="39">
        <v>4990</v>
      </c>
      <c r="G417" s="47" t="s">
        <v>1039</v>
      </c>
      <c r="H417" s="41" t="s">
        <v>28</v>
      </c>
      <c r="I417" s="36" t="s">
        <v>24</v>
      </c>
      <c r="J417" s="46" t="s">
        <v>6</v>
      </c>
      <c r="K417" s="36" t="s">
        <v>1047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</row>
    <row r="418" spans="1:59" s="9" customFormat="1" ht="45" x14ac:dyDescent="0.25">
      <c r="A418" s="31"/>
      <c r="B418" s="36">
        <v>417</v>
      </c>
      <c r="C418" s="36" t="s">
        <v>862</v>
      </c>
      <c r="D418" s="36" t="s">
        <v>110</v>
      </c>
      <c r="E418" s="36" t="s">
        <v>1222</v>
      </c>
      <c r="F418" s="39">
        <v>4820</v>
      </c>
      <c r="G418" s="47" t="s">
        <v>1039</v>
      </c>
      <c r="H418" s="41" t="s">
        <v>56</v>
      </c>
      <c r="I418" s="36" t="s">
        <v>24</v>
      </c>
      <c r="J418" s="46" t="s">
        <v>3</v>
      </c>
      <c r="K418" s="36" t="s">
        <v>1048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</row>
    <row r="419" spans="1:59" s="9" customFormat="1" ht="22.5" x14ac:dyDescent="0.25">
      <c r="A419" s="31"/>
      <c r="B419" s="36">
        <v>418</v>
      </c>
      <c r="C419" s="36" t="s">
        <v>654</v>
      </c>
      <c r="D419" s="36" t="s">
        <v>928</v>
      </c>
      <c r="E419" s="36">
        <v>628</v>
      </c>
      <c r="F419" s="39">
        <v>628</v>
      </c>
      <c r="G419" s="47" t="s">
        <v>1039</v>
      </c>
      <c r="H419" s="41" t="s">
        <v>56</v>
      </c>
      <c r="I419" s="36" t="s">
        <v>7</v>
      </c>
      <c r="J419" s="46"/>
      <c r="K419" s="36" t="s">
        <v>1049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</row>
    <row r="420" spans="1:59" s="9" customFormat="1" ht="11.25" x14ac:dyDescent="0.25">
      <c r="A420" s="31"/>
      <c r="B420" s="36">
        <v>419</v>
      </c>
      <c r="C420" s="36" t="s">
        <v>929</v>
      </c>
      <c r="D420" s="36" t="s">
        <v>928</v>
      </c>
      <c r="E420" s="52">
        <v>612</v>
      </c>
      <c r="F420" s="39">
        <v>612</v>
      </c>
      <c r="G420" s="47" t="s">
        <v>1039</v>
      </c>
      <c r="H420" s="41" t="s">
        <v>56</v>
      </c>
      <c r="I420" s="36" t="s">
        <v>7</v>
      </c>
      <c r="J420" s="46"/>
      <c r="K420" s="36" t="s">
        <v>1050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</row>
    <row r="421" spans="1:59" s="9" customFormat="1" ht="45" x14ac:dyDescent="0.25">
      <c r="A421" s="31"/>
      <c r="B421" s="36">
        <v>420</v>
      </c>
      <c r="C421" s="36" t="s">
        <v>120</v>
      </c>
      <c r="D421" s="52" t="s">
        <v>108</v>
      </c>
      <c r="E421" s="52">
        <v>728.65</v>
      </c>
      <c r="F421" s="39">
        <v>1000</v>
      </c>
      <c r="G421" s="47" t="s">
        <v>1039</v>
      </c>
      <c r="H421" s="41" t="s">
        <v>56</v>
      </c>
      <c r="I421" s="36" t="s">
        <v>24</v>
      </c>
      <c r="J421" s="46" t="s">
        <v>3</v>
      </c>
      <c r="K421" s="36" t="s">
        <v>1051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</row>
    <row r="422" spans="1:59" s="9" customFormat="1" ht="45" x14ac:dyDescent="0.25">
      <c r="A422" s="31"/>
      <c r="B422" s="36">
        <v>421</v>
      </c>
      <c r="C422" s="36" t="s">
        <v>139</v>
      </c>
      <c r="D422" s="52" t="s">
        <v>108</v>
      </c>
      <c r="E422" s="52" t="s">
        <v>1575</v>
      </c>
      <c r="F422" s="39">
        <v>1200</v>
      </c>
      <c r="G422" s="47" t="s">
        <v>1039</v>
      </c>
      <c r="H422" s="41" t="s">
        <v>56</v>
      </c>
      <c r="I422" s="36" t="s">
        <v>24</v>
      </c>
      <c r="J422" s="46" t="s">
        <v>3</v>
      </c>
      <c r="K422" s="36" t="s">
        <v>1052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</row>
    <row r="423" spans="1:59" s="9" customFormat="1" ht="45" x14ac:dyDescent="0.25">
      <c r="A423" s="31"/>
      <c r="B423" s="36">
        <v>422</v>
      </c>
      <c r="C423" s="36" t="s">
        <v>470</v>
      </c>
      <c r="D423" s="52" t="s">
        <v>5</v>
      </c>
      <c r="E423" s="52" t="s">
        <v>1304</v>
      </c>
      <c r="F423" s="39">
        <v>33646.800000000003</v>
      </c>
      <c r="G423" s="47" t="s">
        <v>1039</v>
      </c>
      <c r="H423" s="41" t="s">
        <v>56</v>
      </c>
      <c r="I423" s="36" t="s">
        <v>24</v>
      </c>
      <c r="J423" s="46" t="s">
        <v>3</v>
      </c>
      <c r="K423" s="36" t="s">
        <v>1053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</row>
    <row r="424" spans="1:59" s="9" customFormat="1" ht="45.75" x14ac:dyDescent="0.25">
      <c r="A424" s="31"/>
      <c r="B424" s="36">
        <v>423</v>
      </c>
      <c r="C424" s="36" t="s">
        <v>767</v>
      </c>
      <c r="D424" s="52" t="s">
        <v>930</v>
      </c>
      <c r="E424" s="52">
        <v>354</v>
      </c>
      <c r="F424" s="39">
        <v>354</v>
      </c>
      <c r="G424" s="47" t="s">
        <v>869</v>
      </c>
      <c r="H424" s="41" t="s">
        <v>56</v>
      </c>
      <c r="I424" s="36" t="s">
        <v>24</v>
      </c>
      <c r="J424" s="46" t="s">
        <v>6</v>
      </c>
      <c r="K424" s="36" t="s">
        <v>1054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</row>
    <row r="425" spans="1:59" ht="45" x14ac:dyDescent="0.25">
      <c r="A425" s="29"/>
      <c r="B425" s="36">
        <v>425</v>
      </c>
      <c r="C425" s="36" t="s">
        <v>318</v>
      </c>
      <c r="D425" s="52" t="s">
        <v>278</v>
      </c>
      <c r="E425" s="52" t="s">
        <v>1310</v>
      </c>
      <c r="F425" s="39">
        <v>1680</v>
      </c>
      <c r="G425" s="47" t="s">
        <v>869</v>
      </c>
      <c r="H425" s="41" t="s">
        <v>56</v>
      </c>
      <c r="I425" s="36" t="s">
        <v>24</v>
      </c>
      <c r="J425" s="46" t="s">
        <v>3</v>
      </c>
      <c r="K425" s="36" t="s">
        <v>1055</v>
      </c>
    </row>
    <row r="426" spans="1:59" ht="45" x14ac:dyDescent="0.25">
      <c r="A426" s="29"/>
      <c r="B426" s="36">
        <v>426</v>
      </c>
      <c r="C426" s="36" t="s">
        <v>318</v>
      </c>
      <c r="D426" s="52" t="s">
        <v>278</v>
      </c>
      <c r="E426" s="52" t="s">
        <v>1309</v>
      </c>
      <c r="F426" s="39">
        <v>3146</v>
      </c>
      <c r="G426" s="47" t="s">
        <v>869</v>
      </c>
      <c r="H426" s="41" t="s">
        <v>56</v>
      </c>
      <c r="I426" s="36" t="s">
        <v>24</v>
      </c>
      <c r="J426" s="46" t="s">
        <v>3</v>
      </c>
      <c r="K426" s="36" t="s">
        <v>1056</v>
      </c>
    </row>
    <row r="427" spans="1:59" ht="45" x14ac:dyDescent="0.25">
      <c r="A427" s="29"/>
      <c r="B427" s="36">
        <v>427</v>
      </c>
      <c r="C427" s="36" t="s">
        <v>277</v>
      </c>
      <c r="D427" s="52" t="s">
        <v>278</v>
      </c>
      <c r="E427" s="36" t="s">
        <v>1307</v>
      </c>
      <c r="F427" s="39">
        <v>11074.2</v>
      </c>
      <c r="G427" s="47" t="s">
        <v>869</v>
      </c>
      <c r="H427" s="41" t="s">
        <v>56</v>
      </c>
      <c r="I427" s="36" t="s">
        <v>24</v>
      </c>
      <c r="J427" s="46" t="s">
        <v>3</v>
      </c>
      <c r="K427" s="36" t="s">
        <v>1057</v>
      </c>
    </row>
    <row r="428" spans="1:59" ht="45" x14ac:dyDescent="0.25">
      <c r="A428" s="29"/>
      <c r="B428" s="36">
        <v>428</v>
      </c>
      <c r="C428" s="36" t="s">
        <v>318</v>
      </c>
      <c r="D428" s="52" t="s">
        <v>278</v>
      </c>
      <c r="E428" s="36" t="s">
        <v>1525</v>
      </c>
      <c r="F428" s="39">
        <v>6240</v>
      </c>
      <c r="G428" s="47" t="s">
        <v>869</v>
      </c>
      <c r="H428" s="41" t="s">
        <v>56</v>
      </c>
      <c r="I428" s="36" t="s">
        <v>24</v>
      </c>
      <c r="J428" s="46" t="s">
        <v>3</v>
      </c>
      <c r="K428" s="36" t="s">
        <v>1058</v>
      </c>
    </row>
    <row r="429" spans="1:59" ht="45" x14ac:dyDescent="0.25">
      <c r="A429" s="29"/>
      <c r="B429" s="36">
        <v>429</v>
      </c>
      <c r="C429" s="36" t="s">
        <v>277</v>
      </c>
      <c r="D429" s="52" t="s">
        <v>278</v>
      </c>
      <c r="E429" s="36" t="s">
        <v>1308</v>
      </c>
      <c r="F429" s="39">
        <v>1970</v>
      </c>
      <c r="G429" s="47" t="s">
        <v>869</v>
      </c>
      <c r="H429" s="41" t="s">
        <v>56</v>
      </c>
      <c r="I429" s="36" t="s">
        <v>24</v>
      </c>
      <c r="J429" s="46" t="s">
        <v>3</v>
      </c>
      <c r="K429" s="36" t="s">
        <v>1059</v>
      </c>
    </row>
    <row r="430" spans="1:59" ht="90" x14ac:dyDescent="0.25">
      <c r="A430" s="29"/>
      <c r="B430" s="36">
        <v>430</v>
      </c>
      <c r="C430" s="36" t="s">
        <v>859</v>
      </c>
      <c r="D430" s="36" t="s">
        <v>867</v>
      </c>
      <c r="E430" s="36" t="s">
        <v>1147</v>
      </c>
      <c r="F430" s="39">
        <v>10552</v>
      </c>
      <c r="G430" s="47" t="s">
        <v>869</v>
      </c>
      <c r="H430" s="41" t="s">
        <v>56</v>
      </c>
      <c r="I430" s="36" t="s">
        <v>24</v>
      </c>
      <c r="J430" s="51" t="s">
        <v>398</v>
      </c>
      <c r="K430" s="36" t="s">
        <v>870</v>
      </c>
    </row>
    <row r="431" spans="1:59" ht="90" x14ac:dyDescent="0.25">
      <c r="A431" s="29"/>
      <c r="B431" s="36">
        <v>431</v>
      </c>
      <c r="C431" s="36" t="s">
        <v>860</v>
      </c>
      <c r="D431" s="36" t="s">
        <v>868</v>
      </c>
      <c r="E431" s="36" t="s">
        <v>1145</v>
      </c>
      <c r="F431" s="39">
        <v>4800</v>
      </c>
      <c r="G431" s="47" t="s">
        <v>871</v>
      </c>
      <c r="H431" s="41" t="s">
        <v>56</v>
      </c>
      <c r="I431" s="36" t="s">
        <v>24</v>
      </c>
      <c r="J431" s="51" t="s">
        <v>398</v>
      </c>
      <c r="K431" s="36" t="s">
        <v>872</v>
      </c>
    </row>
    <row r="432" spans="1:59" ht="45" x14ac:dyDescent="0.25">
      <c r="A432" s="29"/>
      <c r="B432" s="36">
        <v>432</v>
      </c>
      <c r="C432" s="36" t="s">
        <v>120</v>
      </c>
      <c r="D432" s="36" t="s">
        <v>93</v>
      </c>
      <c r="E432" s="36">
        <v>223.02</v>
      </c>
      <c r="F432" s="39">
        <v>250</v>
      </c>
      <c r="G432" s="47" t="s">
        <v>871</v>
      </c>
      <c r="H432" s="41" t="s">
        <v>56</v>
      </c>
      <c r="I432" s="36" t="s">
        <v>24</v>
      </c>
      <c r="J432" s="46" t="s">
        <v>3</v>
      </c>
      <c r="K432" s="36" t="s">
        <v>1060</v>
      </c>
    </row>
    <row r="433" spans="1:59" s="9" customFormat="1" ht="45" x14ac:dyDescent="0.25">
      <c r="A433" s="31"/>
      <c r="B433" s="36">
        <v>433</v>
      </c>
      <c r="C433" s="36" t="s">
        <v>861</v>
      </c>
      <c r="D433" s="36" t="s">
        <v>232</v>
      </c>
      <c r="E433" s="36" t="s">
        <v>1209</v>
      </c>
      <c r="F433" s="39">
        <v>2530</v>
      </c>
      <c r="G433" s="47" t="s">
        <v>871</v>
      </c>
      <c r="H433" s="41" t="s">
        <v>56</v>
      </c>
      <c r="I433" s="36" t="s">
        <v>24</v>
      </c>
      <c r="J433" s="46" t="s">
        <v>3</v>
      </c>
      <c r="K433" s="36" t="s">
        <v>1061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</row>
    <row r="434" spans="1:59" s="9" customFormat="1" ht="45" x14ac:dyDescent="0.25">
      <c r="A434" s="31"/>
      <c r="B434" s="36">
        <v>434</v>
      </c>
      <c r="C434" s="36" t="s">
        <v>862</v>
      </c>
      <c r="D434" s="36" t="s">
        <v>110</v>
      </c>
      <c r="E434" s="36" t="s">
        <v>1558</v>
      </c>
      <c r="F434" s="39">
        <v>3150</v>
      </c>
      <c r="G434" s="47" t="s">
        <v>871</v>
      </c>
      <c r="H434" s="41" t="s">
        <v>56</v>
      </c>
      <c r="I434" s="36" t="s">
        <v>24</v>
      </c>
      <c r="J434" s="46" t="s">
        <v>3</v>
      </c>
      <c r="K434" s="36" t="s">
        <v>1062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</row>
    <row r="435" spans="1:59" s="9" customFormat="1" ht="45" x14ac:dyDescent="0.25">
      <c r="A435" s="31"/>
      <c r="B435" s="36">
        <v>435</v>
      </c>
      <c r="C435" s="36" t="s">
        <v>134</v>
      </c>
      <c r="D435" s="36" t="s">
        <v>108</v>
      </c>
      <c r="E435" s="36">
        <f>97.7+345.59+448.98+154.63+176.89+54.05+56.35+297.46+247.78+177.71+90.98+552.18+146.14+1078.47+344.86</f>
        <v>4269.7699999999995</v>
      </c>
      <c r="F435" s="39">
        <v>5000</v>
      </c>
      <c r="G435" s="47" t="s">
        <v>871</v>
      </c>
      <c r="H435" s="41" t="s">
        <v>56</v>
      </c>
      <c r="I435" s="36" t="s">
        <v>24</v>
      </c>
      <c r="J435" s="46" t="s">
        <v>3</v>
      </c>
      <c r="K435" s="36" t="s">
        <v>1063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</row>
    <row r="436" spans="1:59" s="9" customFormat="1" ht="45" x14ac:dyDescent="0.25">
      <c r="A436" s="31"/>
      <c r="B436" s="36">
        <v>436</v>
      </c>
      <c r="C436" s="36" t="s">
        <v>123</v>
      </c>
      <c r="D436" s="36" t="s">
        <v>5</v>
      </c>
      <c r="E436" s="36">
        <f>618+4167+718+3140+2034+1695+1356+778+1236+3708+309+3090+1610</f>
        <v>24459</v>
      </c>
      <c r="F436" s="39">
        <v>30000</v>
      </c>
      <c r="G436" s="47" t="s">
        <v>871</v>
      </c>
      <c r="H436" s="41" t="s">
        <v>56</v>
      </c>
      <c r="I436" s="36" t="s">
        <v>24</v>
      </c>
      <c r="J436" s="46" t="s">
        <v>3</v>
      </c>
      <c r="K436" s="36" t="s">
        <v>1064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</row>
    <row r="437" spans="1:59" s="9" customFormat="1" ht="45" x14ac:dyDescent="0.25">
      <c r="A437" s="31"/>
      <c r="B437" s="36">
        <v>437</v>
      </c>
      <c r="C437" s="36" t="s">
        <v>863</v>
      </c>
      <c r="D437" s="36" t="s">
        <v>5</v>
      </c>
      <c r="E437" s="36">
        <v>380</v>
      </c>
      <c r="F437" s="39">
        <v>380</v>
      </c>
      <c r="G437" s="47" t="s">
        <v>871</v>
      </c>
      <c r="H437" s="41" t="s">
        <v>56</v>
      </c>
      <c r="I437" s="36" t="s">
        <v>24</v>
      </c>
      <c r="J437" s="46" t="s">
        <v>3</v>
      </c>
      <c r="K437" s="36" t="s">
        <v>1065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</row>
    <row r="438" spans="1:59" s="9" customFormat="1" ht="45" x14ac:dyDescent="0.25">
      <c r="A438" s="31"/>
      <c r="B438" s="36">
        <v>438</v>
      </c>
      <c r="C438" s="36" t="s">
        <v>235</v>
      </c>
      <c r="D438" s="36" t="s">
        <v>108</v>
      </c>
      <c r="E438" s="36">
        <v>100</v>
      </c>
      <c r="F438" s="39">
        <v>100</v>
      </c>
      <c r="G438" s="47" t="s">
        <v>871</v>
      </c>
      <c r="H438" s="41" t="s">
        <v>56</v>
      </c>
      <c r="I438" s="36" t="s">
        <v>24</v>
      </c>
      <c r="J438" s="46" t="s">
        <v>3</v>
      </c>
      <c r="K438" s="36" t="s">
        <v>1066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</row>
    <row r="439" spans="1:59" s="9" customFormat="1" ht="45" x14ac:dyDescent="0.25">
      <c r="A439" s="31"/>
      <c r="B439" s="36">
        <v>439</v>
      </c>
      <c r="C439" s="36" t="s">
        <v>277</v>
      </c>
      <c r="D439" s="36" t="s">
        <v>278</v>
      </c>
      <c r="E439" s="36" t="s">
        <v>1312</v>
      </c>
      <c r="F439" s="39">
        <v>28718</v>
      </c>
      <c r="G439" s="47" t="s">
        <v>871</v>
      </c>
      <c r="H439" s="41" t="s">
        <v>56</v>
      </c>
      <c r="I439" s="36" t="s">
        <v>24</v>
      </c>
      <c r="J439" s="46" t="s">
        <v>3</v>
      </c>
      <c r="K439" s="36" t="s">
        <v>1067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</row>
    <row r="440" spans="1:59" s="9" customFormat="1" ht="45" x14ac:dyDescent="0.25">
      <c r="A440" s="31"/>
      <c r="B440" s="36">
        <v>440</v>
      </c>
      <c r="C440" s="36" t="s">
        <v>318</v>
      </c>
      <c r="D440" s="36" t="s">
        <v>278</v>
      </c>
      <c r="E440" s="36" t="s">
        <v>1311</v>
      </c>
      <c r="F440" s="39">
        <v>8598</v>
      </c>
      <c r="G440" s="47" t="s">
        <v>871</v>
      </c>
      <c r="H440" s="41" t="s">
        <v>56</v>
      </c>
      <c r="I440" s="36" t="s">
        <v>24</v>
      </c>
      <c r="J440" s="46" t="s">
        <v>3</v>
      </c>
      <c r="K440" s="36" t="s">
        <v>1068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</row>
    <row r="441" spans="1:59" s="9" customFormat="1" ht="45" x14ac:dyDescent="0.25">
      <c r="A441" s="31"/>
      <c r="B441" s="36">
        <v>442</v>
      </c>
      <c r="C441" s="36" t="s">
        <v>211</v>
      </c>
      <c r="D441" s="36" t="s">
        <v>108</v>
      </c>
      <c r="E441" s="36" t="s">
        <v>1210</v>
      </c>
      <c r="F441" s="39">
        <v>1200</v>
      </c>
      <c r="G441" s="47" t="s">
        <v>873</v>
      </c>
      <c r="H441" s="41" t="s">
        <v>56</v>
      </c>
      <c r="I441" s="36" t="s">
        <v>24</v>
      </c>
      <c r="J441" s="46" t="s">
        <v>3</v>
      </c>
      <c r="K441" s="36" t="s">
        <v>1069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</row>
    <row r="442" spans="1:59" s="9" customFormat="1" ht="45" x14ac:dyDescent="0.25">
      <c r="A442" s="31"/>
      <c r="B442" s="36">
        <v>443</v>
      </c>
      <c r="C442" s="36" t="s">
        <v>864</v>
      </c>
      <c r="D442" s="36" t="s">
        <v>232</v>
      </c>
      <c r="E442" s="36" t="s">
        <v>1223</v>
      </c>
      <c r="F442" s="39">
        <v>2687.5</v>
      </c>
      <c r="G442" s="47" t="s">
        <v>873</v>
      </c>
      <c r="H442" s="41" t="s">
        <v>56</v>
      </c>
      <c r="I442" s="36" t="s">
        <v>24</v>
      </c>
      <c r="J442" s="46" t="s">
        <v>3</v>
      </c>
      <c r="K442" s="36" t="s">
        <v>1070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</row>
    <row r="443" spans="1:59" s="9" customFormat="1" ht="45" x14ac:dyDescent="0.25">
      <c r="A443" s="31"/>
      <c r="B443" s="36">
        <v>444</v>
      </c>
      <c r="C443" s="36" t="s">
        <v>862</v>
      </c>
      <c r="D443" s="36" t="s">
        <v>110</v>
      </c>
      <c r="E443" s="36" t="s">
        <v>1221</v>
      </c>
      <c r="F443" s="39">
        <v>4500</v>
      </c>
      <c r="G443" s="47" t="s">
        <v>873</v>
      </c>
      <c r="H443" s="41" t="s">
        <v>56</v>
      </c>
      <c r="I443" s="36" t="s">
        <v>24</v>
      </c>
      <c r="J443" s="46" t="s">
        <v>3</v>
      </c>
      <c r="K443" s="36" t="s">
        <v>1071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</row>
    <row r="444" spans="1:59" s="9" customFormat="1" ht="45" x14ac:dyDescent="0.25">
      <c r="A444" s="31"/>
      <c r="B444" s="36">
        <v>445</v>
      </c>
      <c r="C444" s="36" t="s">
        <v>865</v>
      </c>
      <c r="D444" s="36" t="s">
        <v>108</v>
      </c>
      <c r="E444" s="36">
        <v>41</v>
      </c>
      <c r="F444" s="39">
        <v>60</v>
      </c>
      <c r="G444" s="47" t="s">
        <v>873</v>
      </c>
      <c r="H444" s="41" t="s">
        <v>56</v>
      </c>
      <c r="I444" s="36" t="s">
        <v>24</v>
      </c>
      <c r="J444" s="46" t="s">
        <v>3</v>
      </c>
      <c r="K444" s="36" t="s">
        <v>1072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</row>
    <row r="445" spans="1:59" s="9" customFormat="1" ht="45" x14ac:dyDescent="0.25">
      <c r="B445" s="36">
        <v>446</v>
      </c>
      <c r="C445" s="36" t="s">
        <v>744</v>
      </c>
      <c r="D445" s="36" t="s">
        <v>108</v>
      </c>
      <c r="E445" s="36">
        <v>50</v>
      </c>
      <c r="F445" s="39">
        <v>50</v>
      </c>
      <c r="G445" s="47" t="s">
        <v>873</v>
      </c>
      <c r="H445" s="41" t="s">
        <v>56</v>
      </c>
      <c r="I445" s="36" t="s">
        <v>24</v>
      </c>
      <c r="J445" s="46" t="s">
        <v>3</v>
      </c>
      <c r="K445" s="36" t="s">
        <v>1073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</row>
    <row r="446" spans="1:59" s="9" customFormat="1" ht="45" x14ac:dyDescent="0.25">
      <c r="B446" s="36">
        <v>447</v>
      </c>
      <c r="C446" s="36" t="s">
        <v>783</v>
      </c>
      <c r="D446" s="36" t="s">
        <v>108</v>
      </c>
      <c r="E446" s="36">
        <v>50</v>
      </c>
      <c r="F446" s="39">
        <v>50</v>
      </c>
      <c r="G446" s="47" t="s">
        <v>873</v>
      </c>
      <c r="H446" s="41" t="s">
        <v>56</v>
      </c>
      <c r="I446" s="36" t="s">
        <v>24</v>
      </c>
      <c r="J446" s="46" t="s">
        <v>3</v>
      </c>
      <c r="K446" s="36" t="s">
        <v>1074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</row>
    <row r="447" spans="1:59" s="9" customFormat="1" ht="45" x14ac:dyDescent="0.25">
      <c r="B447" s="36">
        <v>449</v>
      </c>
      <c r="C447" s="36" t="s">
        <v>120</v>
      </c>
      <c r="D447" s="36" t="s">
        <v>93</v>
      </c>
      <c r="E447" s="36">
        <v>796.5</v>
      </c>
      <c r="F447" s="39">
        <v>796.5</v>
      </c>
      <c r="G447" s="47" t="s">
        <v>873</v>
      </c>
      <c r="H447" s="41" t="s">
        <v>56</v>
      </c>
      <c r="I447" s="36" t="s">
        <v>24</v>
      </c>
      <c r="J447" s="46" t="s">
        <v>3</v>
      </c>
      <c r="K447" s="36" t="s">
        <v>1075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</row>
    <row r="448" spans="1:59" s="9" customFormat="1" ht="45" x14ac:dyDescent="0.25">
      <c r="B448" s="36">
        <v>450</v>
      </c>
      <c r="C448" s="36" t="s">
        <v>316</v>
      </c>
      <c r="D448" s="36" t="s">
        <v>108</v>
      </c>
      <c r="E448" s="36">
        <v>350</v>
      </c>
      <c r="F448" s="39">
        <v>500</v>
      </c>
      <c r="G448" s="47" t="s">
        <v>873</v>
      </c>
      <c r="H448" s="41" t="s">
        <v>56</v>
      </c>
      <c r="I448" s="36" t="s">
        <v>24</v>
      </c>
      <c r="J448" s="46" t="s">
        <v>3</v>
      </c>
      <c r="K448" s="36" t="s">
        <v>1076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</row>
    <row r="449" spans="1:59" ht="45" x14ac:dyDescent="0.25">
      <c r="A449" s="1"/>
      <c r="B449" s="36">
        <v>451</v>
      </c>
      <c r="C449" s="36" t="s">
        <v>866</v>
      </c>
      <c r="D449" s="36" t="s">
        <v>232</v>
      </c>
      <c r="E449" s="36" t="s">
        <v>1218</v>
      </c>
      <c r="F449" s="39" t="s">
        <v>1218</v>
      </c>
      <c r="G449" s="47" t="s">
        <v>873</v>
      </c>
      <c r="H449" s="41" t="s">
        <v>56</v>
      </c>
      <c r="I449" s="36" t="s">
        <v>24</v>
      </c>
      <c r="J449" s="46" t="s">
        <v>3</v>
      </c>
      <c r="K449" s="36" t="s">
        <v>1077</v>
      </c>
    </row>
    <row r="450" spans="1:59" ht="45" x14ac:dyDescent="0.25">
      <c r="A450" s="1"/>
      <c r="B450" s="36">
        <v>452</v>
      </c>
      <c r="C450" s="36" t="s">
        <v>99</v>
      </c>
      <c r="D450" s="36" t="s">
        <v>5</v>
      </c>
      <c r="E450" s="36" t="s">
        <v>1576</v>
      </c>
      <c r="F450" s="39">
        <v>2583</v>
      </c>
      <c r="G450" s="47" t="s">
        <v>873</v>
      </c>
      <c r="H450" s="41" t="s">
        <v>56</v>
      </c>
      <c r="I450" s="36" t="s">
        <v>24</v>
      </c>
      <c r="J450" s="46" t="s">
        <v>3</v>
      </c>
      <c r="K450" s="36" t="s">
        <v>1078</v>
      </c>
    </row>
    <row r="451" spans="1:59" s="3" customFormat="1" ht="45" x14ac:dyDescent="0.25">
      <c r="B451" s="36">
        <v>453</v>
      </c>
      <c r="C451" s="36" t="s">
        <v>931</v>
      </c>
      <c r="D451" s="36" t="s">
        <v>5</v>
      </c>
      <c r="E451" s="36" t="s">
        <v>1577</v>
      </c>
      <c r="F451" s="39">
        <v>2340</v>
      </c>
      <c r="G451" s="47" t="s">
        <v>873</v>
      </c>
      <c r="H451" s="41" t="s">
        <v>56</v>
      </c>
      <c r="I451" s="36" t="s">
        <v>24</v>
      </c>
      <c r="J451" s="46" t="s">
        <v>3</v>
      </c>
      <c r="K451" s="36" t="s">
        <v>1489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</row>
    <row r="452" spans="1:59" ht="45" x14ac:dyDescent="0.25">
      <c r="A452" s="1"/>
      <c r="B452" s="36">
        <v>454</v>
      </c>
      <c r="C452" s="36" t="s">
        <v>931</v>
      </c>
      <c r="D452" s="36" t="s">
        <v>108</v>
      </c>
      <c r="E452" s="36" t="s">
        <v>579</v>
      </c>
      <c r="F452" s="39">
        <v>1800</v>
      </c>
      <c r="G452" s="47" t="s">
        <v>873</v>
      </c>
      <c r="H452" s="41" t="s">
        <v>56</v>
      </c>
      <c r="I452" s="36" t="s">
        <v>24</v>
      </c>
      <c r="J452" s="46" t="s">
        <v>3</v>
      </c>
      <c r="K452" s="36" t="s">
        <v>1490</v>
      </c>
    </row>
    <row r="453" spans="1:59" s="9" customFormat="1" ht="45" x14ac:dyDescent="0.25">
      <c r="B453" s="36">
        <v>455</v>
      </c>
      <c r="C453" s="36" t="s">
        <v>932</v>
      </c>
      <c r="D453" s="36" t="s">
        <v>108</v>
      </c>
      <c r="E453" s="36" t="s">
        <v>1220</v>
      </c>
      <c r="F453" s="39">
        <v>1200</v>
      </c>
      <c r="G453" s="47" t="s">
        <v>873</v>
      </c>
      <c r="H453" s="41" t="s">
        <v>56</v>
      </c>
      <c r="I453" s="36" t="s">
        <v>24</v>
      </c>
      <c r="J453" s="46" t="s">
        <v>3</v>
      </c>
      <c r="K453" s="36" t="s">
        <v>1079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</row>
    <row r="454" spans="1:59" s="9" customFormat="1" ht="45" x14ac:dyDescent="0.25">
      <c r="B454" s="36">
        <v>456</v>
      </c>
      <c r="C454" s="36" t="s">
        <v>326</v>
      </c>
      <c r="D454" s="36" t="s">
        <v>108</v>
      </c>
      <c r="E454" s="36">
        <v>994.7</v>
      </c>
      <c r="F454" s="39">
        <v>1200</v>
      </c>
      <c r="G454" s="47" t="s">
        <v>873</v>
      </c>
      <c r="H454" s="41" t="s">
        <v>56</v>
      </c>
      <c r="I454" s="36" t="s">
        <v>24</v>
      </c>
      <c r="J454" s="46" t="s">
        <v>3</v>
      </c>
      <c r="K454" s="36" t="s">
        <v>1080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</row>
    <row r="455" spans="1:59" s="9" customFormat="1" ht="45" x14ac:dyDescent="0.25">
      <c r="B455" s="36">
        <v>457</v>
      </c>
      <c r="C455" s="36" t="s">
        <v>265</v>
      </c>
      <c r="D455" s="36" t="s">
        <v>110</v>
      </c>
      <c r="E455" s="36" t="s">
        <v>1219</v>
      </c>
      <c r="F455" s="39">
        <v>2440</v>
      </c>
      <c r="G455" s="47" t="s">
        <v>873</v>
      </c>
      <c r="H455" s="41" t="s">
        <v>56</v>
      </c>
      <c r="I455" s="36" t="s">
        <v>24</v>
      </c>
      <c r="J455" s="46" t="s">
        <v>3</v>
      </c>
      <c r="K455" s="36" t="s">
        <v>1081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</row>
    <row r="456" spans="1:59" s="9" customFormat="1" ht="45" x14ac:dyDescent="0.25">
      <c r="B456" s="36">
        <v>458</v>
      </c>
      <c r="C456" s="36" t="s">
        <v>494</v>
      </c>
      <c r="D456" s="36" t="s">
        <v>110</v>
      </c>
      <c r="E456" s="36" t="s">
        <v>1216</v>
      </c>
      <c r="F456" s="39">
        <v>1450</v>
      </c>
      <c r="G456" s="47" t="s">
        <v>873</v>
      </c>
      <c r="H456" s="41" t="s">
        <v>56</v>
      </c>
      <c r="I456" s="36" t="s">
        <v>24</v>
      </c>
      <c r="J456" s="46" t="s">
        <v>3</v>
      </c>
      <c r="K456" s="36" t="s">
        <v>1082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</row>
    <row r="457" spans="1:59" s="9" customFormat="1" ht="90" x14ac:dyDescent="0.25">
      <c r="B457" s="36">
        <v>459</v>
      </c>
      <c r="C457" s="36" t="s">
        <v>933</v>
      </c>
      <c r="D457" s="36" t="s">
        <v>934</v>
      </c>
      <c r="E457" s="36" t="s">
        <v>1200</v>
      </c>
      <c r="F457" s="39">
        <v>7525</v>
      </c>
      <c r="G457" s="47" t="s">
        <v>1083</v>
      </c>
      <c r="H457" s="41" t="s">
        <v>56</v>
      </c>
      <c r="I457" s="36" t="s">
        <v>24</v>
      </c>
      <c r="J457" s="51" t="s">
        <v>398</v>
      </c>
      <c r="K457" s="36" t="s">
        <v>1084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</row>
    <row r="458" spans="1:59" s="9" customFormat="1" ht="90" x14ac:dyDescent="0.25">
      <c r="B458" s="36">
        <v>460</v>
      </c>
      <c r="C458" s="36" t="s">
        <v>935</v>
      </c>
      <c r="D458" s="36" t="s">
        <v>936</v>
      </c>
      <c r="E458" s="36">
        <f>13714.08+14028.48</f>
        <v>27742.559999999998</v>
      </c>
      <c r="F458" s="39">
        <v>30720</v>
      </c>
      <c r="G458" s="47" t="s">
        <v>1083</v>
      </c>
      <c r="H458" s="41" t="s">
        <v>56</v>
      </c>
      <c r="I458" s="36" t="s">
        <v>24</v>
      </c>
      <c r="J458" s="51" t="s">
        <v>398</v>
      </c>
      <c r="K458" s="36" t="s">
        <v>1085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</row>
    <row r="459" spans="1:59" s="9" customFormat="1" ht="90" x14ac:dyDescent="0.25">
      <c r="B459" s="36">
        <v>461</v>
      </c>
      <c r="C459" s="36" t="s">
        <v>937</v>
      </c>
      <c r="D459" s="36" t="s">
        <v>938</v>
      </c>
      <c r="E459" s="36" t="s">
        <v>1201</v>
      </c>
      <c r="F459" s="39">
        <v>155000</v>
      </c>
      <c r="G459" s="47" t="s">
        <v>1083</v>
      </c>
      <c r="H459" s="41" t="s">
        <v>56</v>
      </c>
      <c r="I459" s="36" t="s">
        <v>24</v>
      </c>
      <c r="J459" s="51" t="s">
        <v>398</v>
      </c>
      <c r="K459" s="36" t="s">
        <v>1086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</row>
    <row r="460" spans="1:59" s="9" customFormat="1" ht="22.5" x14ac:dyDescent="0.25">
      <c r="B460" s="36">
        <v>462</v>
      </c>
      <c r="C460" s="36" t="s">
        <v>939</v>
      </c>
      <c r="D460" s="36" t="s">
        <v>940</v>
      </c>
      <c r="E460" s="36">
        <f>16598</f>
        <v>16598</v>
      </c>
      <c r="F460" s="39">
        <v>37922</v>
      </c>
      <c r="G460" s="47" t="s">
        <v>1083</v>
      </c>
      <c r="H460" s="41" t="s">
        <v>56</v>
      </c>
      <c r="I460" s="36" t="s">
        <v>9</v>
      </c>
      <c r="J460" s="51" t="s">
        <v>1087</v>
      </c>
      <c r="K460" s="3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</row>
    <row r="461" spans="1:59" s="9" customFormat="1" ht="90" x14ac:dyDescent="0.25">
      <c r="B461" s="36">
        <v>463</v>
      </c>
      <c r="C461" s="36" t="s">
        <v>941</v>
      </c>
      <c r="D461" s="36" t="s">
        <v>942</v>
      </c>
      <c r="E461" s="36" t="s">
        <v>1578</v>
      </c>
      <c r="F461" s="39">
        <v>1590</v>
      </c>
      <c r="G461" s="47" t="s">
        <v>1083</v>
      </c>
      <c r="H461" s="41" t="s">
        <v>56</v>
      </c>
      <c r="I461" s="36" t="s">
        <v>24</v>
      </c>
      <c r="J461" s="51" t="s">
        <v>398</v>
      </c>
      <c r="K461" s="36" t="s">
        <v>1088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</row>
    <row r="462" spans="1:59" s="9" customFormat="1" ht="90" x14ac:dyDescent="0.25">
      <c r="B462" s="36">
        <v>464</v>
      </c>
      <c r="C462" s="36" t="s">
        <v>943</v>
      </c>
      <c r="D462" s="36" t="s">
        <v>346</v>
      </c>
      <c r="E462" s="36" t="s">
        <v>1208</v>
      </c>
      <c r="F462" s="39">
        <v>99500</v>
      </c>
      <c r="G462" s="47" t="s">
        <v>1083</v>
      </c>
      <c r="H462" s="41" t="s">
        <v>56</v>
      </c>
      <c r="I462" s="36" t="s">
        <v>24</v>
      </c>
      <c r="J462" s="51" t="s">
        <v>398</v>
      </c>
      <c r="K462" s="36" t="s">
        <v>1089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</row>
    <row r="463" spans="1:59" s="9" customFormat="1" ht="90" x14ac:dyDescent="0.25">
      <c r="B463" s="36">
        <v>465</v>
      </c>
      <c r="C463" s="36" t="s">
        <v>472</v>
      </c>
      <c r="D463" s="36" t="s">
        <v>944</v>
      </c>
      <c r="E463" s="36" t="s">
        <v>1314</v>
      </c>
      <c r="F463" s="39">
        <v>2163</v>
      </c>
      <c r="G463" s="47" t="s">
        <v>1083</v>
      </c>
      <c r="H463" s="41" t="s">
        <v>56</v>
      </c>
      <c r="I463" s="36" t="s">
        <v>24</v>
      </c>
      <c r="J463" s="51" t="s">
        <v>398</v>
      </c>
      <c r="K463" s="36" t="s">
        <v>1090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</row>
    <row r="464" spans="1:59" s="9" customFormat="1" ht="90" x14ac:dyDescent="0.25">
      <c r="B464" s="36">
        <v>466</v>
      </c>
      <c r="C464" s="36" t="s">
        <v>945</v>
      </c>
      <c r="D464" s="36" t="s">
        <v>946</v>
      </c>
      <c r="E464" s="36" t="s">
        <v>1207</v>
      </c>
      <c r="F464" s="39">
        <v>5200</v>
      </c>
      <c r="G464" s="47" t="s">
        <v>1083</v>
      </c>
      <c r="H464" s="41" t="s">
        <v>56</v>
      </c>
      <c r="I464" s="36" t="s">
        <v>24</v>
      </c>
      <c r="J464" s="51" t="s">
        <v>398</v>
      </c>
      <c r="K464" s="36" t="s">
        <v>1091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</row>
    <row r="465" spans="1:59" s="9" customFormat="1" ht="45" x14ac:dyDescent="0.25">
      <c r="B465" s="36">
        <v>467</v>
      </c>
      <c r="C465" s="52" t="s">
        <v>924</v>
      </c>
      <c r="D465" s="36" t="s">
        <v>110</v>
      </c>
      <c r="E465" s="36" t="s">
        <v>1486</v>
      </c>
      <c r="F465" s="39">
        <v>3360</v>
      </c>
      <c r="G465" s="47" t="s">
        <v>1083</v>
      </c>
      <c r="H465" s="41" t="s">
        <v>56</v>
      </c>
      <c r="I465" s="36" t="s">
        <v>24</v>
      </c>
      <c r="J465" s="46" t="s">
        <v>3</v>
      </c>
      <c r="K465" s="36" t="s">
        <v>1484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</row>
    <row r="466" spans="1:59" s="9" customFormat="1" ht="45" x14ac:dyDescent="0.25">
      <c r="B466" s="36">
        <v>468</v>
      </c>
      <c r="C466" s="52" t="s">
        <v>1149</v>
      </c>
      <c r="D466" s="36" t="s">
        <v>5</v>
      </c>
      <c r="E466" s="36" t="s">
        <v>1533</v>
      </c>
      <c r="F466" s="39">
        <v>20967.55</v>
      </c>
      <c r="G466" s="47" t="s">
        <v>1083</v>
      </c>
      <c r="H466" s="41" t="s">
        <v>56</v>
      </c>
      <c r="I466" s="36" t="s">
        <v>24</v>
      </c>
      <c r="J466" s="46" t="s">
        <v>3</v>
      </c>
      <c r="K466" s="36" t="s">
        <v>1485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</row>
    <row r="467" spans="1:59" s="9" customFormat="1" ht="45" x14ac:dyDescent="0.25">
      <c r="B467" s="36">
        <v>469</v>
      </c>
      <c r="C467" s="52" t="s">
        <v>861</v>
      </c>
      <c r="D467" s="36" t="s">
        <v>232</v>
      </c>
      <c r="E467" s="36" t="s">
        <v>608</v>
      </c>
      <c r="F467" s="39">
        <v>2000</v>
      </c>
      <c r="G467" s="47" t="s">
        <v>1083</v>
      </c>
      <c r="H467" s="41" t="s">
        <v>56</v>
      </c>
      <c r="I467" s="36" t="s">
        <v>24</v>
      </c>
      <c r="J467" s="46" t="s">
        <v>3</v>
      </c>
      <c r="K467" s="36" t="s">
        <v>1165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</row>
    <row r="468" spans="1:59" s="9" customFormat="1" ht="45" x14ac:dyDescent="0.25">
      <c r="B468" s="36">
        <v>470</v>
      </c>
      <c r="C468" s="36" t="s">
        <v>318</v>
      </c>
      <c r="D468" s="36" t="s">
        <v>278</v>
      </c>
      <c r="E468" s="36" t="s">
        <v>1225</v>
      </c>
      <c r="F468" s="39">
        <v>1388</v>
      </c>
      <c r="G468" s="47" t="s">
        <v>1083</v>
      </c>
      <c r="H468" s="41" t="s">
        <v>56</v>
      </c>
      <c r="I468" s="36" t="s">
        <v>24</v>
      </c>
      <c r="J468" s="46" t="s">
        <v>3</v>
      </c>
      <c r="K468" s="36" t="s">
        <v>1166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</row>
    <row r="469" spans="1:59" s="9" customFormat="1" ht="45" x14ac:dyDescent="0.25">
      <c r="B469" s="36">
        <v>471</v>
      </c>
      <c r="C469" s="36" t="s">
        <v>947</v>
      </c>
      <c r="D469" s="36" t="s">
        <v>93</v>
      </c>
      <c r="E469" s="36" t="s">
        <v>1488</v>
      </c>
      <c r="F469" s="39">
        <v>5900</v>
      </c>
      <c r="G469" s="47" t="s">
        <v>1092</v>
      </c>
      <c r="H469" s="41" t="s">
        <v>56</v>
      </c>
      <c r="I469" s="36" t="s">
        <v>24</v>
      </c>
      <c r="J469" s="46" t="s">
        <v>3</v>
      </c>
      <c r="K469" s="36" t="s">
        <v>1167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</row>
    <row r="470" spans="1:59" s="3" customFormat="1" ht="45" x14ac:dyDescent="0.25">
      <c r="B470" s="36">
        <v>473</v>
      </c>
      <c r="C470" s="36" t="s">
        <v>134</v>
      </c>
      <c r="D470" s="36" t="s">
        <v>5</v>
      </c>
      <c r="E470" s="36" t="s">
        <v>1306</v>
      </c>
      <c r="F470" s="39">
        <v>3150</v>
      </c>
      <c r="G470" s="47" t="s">
        <v>1092</v>
      </c>
      <c r="H470" s="41" t="s">
        <v>56</v>
      </c>
      <c r="I470" s="36" t="s">
        <v>24</v>
      </c>
      <c r="J470" s="46" t="s">
        <v>3</v>
      </c>
      <c r="K470" s="36" t="s">
        <v>1168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</row>
    <row r="471" spans="1:59" s="9" customFormat="1" ht="45" x14ac:dyDescent="0.25">
      <c r="B471" s="36">
        <v>474</v>
      </c>
      <c r="C471" s="36" t="s">
        <v>134</v>
      </c>
      <c r="D471" s="36" t="s">
        <v>108</v>
      </c>
      <c r="E471" s="36">
        <v>839.19</v>
      </c>
      <c r="F471" s="39">
        <v>840</v>
      </c>
      <c r="G471" s="47" t="s">
        <v>1092</v>
      </c>
      <c r="H471" s="41" t="s">
        <v>56</v>
      </c>
      <c r="I471" s="36" t="s">
        <v>24</v>
      </c>
      <c r="J471" s="46" t="s">
        <v>3</v>
      </c>
      <c r="K471" s="36" t="s">
        <v>1169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</row>
    <row r="472" spans="1:59" s="3" customFormat="1" ht="45" x14ac:dyDescent="0.25">
      <c r="B472" s="36">
        <v>475</v>
      </c>
      <c r="C472" s="36" t="s">
        <v>277</v>
      </c>
      <c r="D472" s="36" t="s">
        <v>278</v>
      </c>
      <c r="E472" s="36" t="s">
        <v>1313</v>
      </c>
      <c r="F472" s="39">
        <v>25630.5</v>
      </c>
      <c r="G472" s="47" t="s">
        <v>1092</v>
      </c>
      <c r="H472" s="41" t="s">
        <v>56</v>
      </c>
      <c r="I472" s="36" t="s">
        <v>24</v>
      </c>
      <c r="J472" s="46" t="s">
        <v>3</v>
      </c>
      <c r="K472" s="36" t="s">
        <v>1170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</row>
    <row r="473" spans="1:59" s="9" customFormat="1" ht="45" x14ac:dyDescent="0.25">
      <c r="B473" s="36">
        <v>476</v>
      </c>
      <c r="C473" s="36" t="s">
        <v>947</v>
      </c>
      <c r="D473" s="36" t="s">
        <v>93</v>
      </c>
      <c r="E473" s="36">
        <v>354</v>
      </c>
      <c r="F473" s="39">
        <v>354</v>
      </c>
      <c r="G473" s="47" t="s">
        <v>1093</v>
      </c>
      <c r="H473" s="41" t="s">
        <v>56</v>
      </c>
      <c r="I473" s="36" t="s">
        <v>24</v>
      </c>
      <c r="J473" s="46" t="s">
        <v>3</v>
      </c>
      <c r="K473" s="36" t="s">
        <v>1171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</row>
    <row r="474" spans="1:59" s="9" customFormat="1" ht="45" x14ac:dyDescent="0.25">
      <c r="B474" s="36">
        <v>477</v>
      </c>
      <c r="C474" s="36" t="s">
        <v>948</v>
      </c>
      <c r="D474" s="36" t="s">
        <v>108</v>
      </c>
      <c r="E474" s="36">
        <v>57</v>
      </c>
      <c r="F474" s="39">
        <v>60</v>
      </c>
      <c r="G474" s="47" t="s">
        <v>1094</v>
      </c>
      <c r="H474" s="41" t="s">
        <v>56</v>
      </c>
      <c r="I474" s="36" t="s">
        <v>24</v>
      </c>
      <c r="J474" s="46" t="s">
        <v>3</v>
      </c>
      <c r="K474" s="36" t="s">
        <v>1172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</row>
    <row r="475" spans="1:59" s="9" customFormat="1" ht="45" x14ac:dyDescent="0.25">
      <c r="B475" s="36">
        <v>478</v>
      </c>
      <c r="C475" s="52" t="s">
        <v>203</v>
      </c>
      <c r="D475" s="52" t="s">
        <v>5</v>
      </c>
      <c r="E475" s="36">
        <v>60</v>
      </c>
      <c r="F475" s="39">
        <v>60</v>
      </c>
      <c r="G475" s="47" t="s">
        <v>1094</v>
      </c>
      <c r="H475" s="41" t="s">
        <v>56</v>
      </c>
      <c r="I475" s="36" t="s">
        <v>24</v>
      </c>
      <c r="J475" s="46" t="s">
        <v>3</v>
      </c>
      <c r="K475" s="36" t="s">
        <v>1173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</row>
    <row r="476" spans="1:59" s="9" customFormat="1" ht="45" x14ac:dyDescent="0.25">
      <c r="B476" s="36">
        <v>479</v>
      </c>
      <c r="C476" s="36" t="s">
        <v>470</v>
      </c>
      <c r="D476" s="36" t="s">
        <v>5</v>
      </c>
      <c r="E476" s="36" t="s">
        <v>1510</v>
      </c>
      <c r="F476" s="39" t="s">
        <v>1510</v>
      </c>
      <c r="G476" s="47" t="s">
        <v>1094</v>
      </c>
      <c r="H476" s="41" t="s">
        <v>56</v>
      </c>
      <c r="I476" s="36" t="s">
        <v>24</v>
      </c>
      <c r="J476" s="46" t="s">
        <v>3</v>
      </c>
      <c r="K476" s="36" t="s">
        <v>1174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</row>
    <row r="477" spans="1:59" s="9" customFormat="1" ht="45" x14ac:dyDescent="0.25">
      <c r="B477" s="36">
        <v>480</v>
      </c>
      <c r="C477" s="36" t="s">
        <v>893</v>
      </c>
      <c r="D477" s="36" t="s">
        <v>108</v>
      </c>
      <c r="E477" s="36">
        <v>840</v>
      </c>
      <c r="F477" s="39">
        <v>840</v>
      </c>
      <c r="G477" s="47" t="s">
        <v>1094</v>
      </c>
      <c r="H477" s="41" t="s">
        <v>56</v>
      </c>
      <c r="I477" s="36" t="s">
        <v>24</v>
      </c>
      <c r="J477" s="46" t="s">
        <v>3</v>
      </c>
      <c r="K477" s="36" t="s">
        <v>1175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</row>
    <row r="478" spans="1:59" ht="45" x14ac:dyDescent="0.25">
      <c r="A478" s="1"/>
      <c r="B478" s="36">
        <v>481</v>
      </c>
      <c r="C478" s="36" t="s">
        <v>896</v>
      </c>
      <c r="D478" s="36" t="s">
        <v>108</v>
      </c>
      <c r="E478" s="36" t="s">
        <v>578</v>
      </c>
      <c r="F478" s="39">
        <v>1500</v>
      </c>
      <c r="G478" s="47" t="s">
        <v>1094</v>
      </c>
      <c r="H478" s="41" t="s">
        <v>56</v>
      </c>
      <c r="I478" s="36" t="s">
        <v>24</v>
      </c>
      <c r="J478" s="46" t="s">
        <v>3</v>
      </c>
      <c r="K478" s="36" t="s">
        <v>1176</v>
      </c>
    </row>
    <row r="479" spans="1:59" s="9" customFormat="1" ht="45" x14ac:dyDescent="0.25">
      <c r="B479" s="36">
        <v>482</v>
      </c>
      <c r="C479" s="36" t="s">
        <v>155</v>
      </c>
      <c r="D479" s="36" t="s">
        <v>5</v>
      </c>
      <c r="E479" s="36">
        <f>1848+1925.04+693+231+735+1277.5+750.75+1848+231+4870.36+885.52</f>
        <v>15295.170000000002</v>
      </c>
      <c r="F479" s="39">
        <v>20000</v>
      </c>
      <c r="G479" s="47" t="s">
        <v>1094</v>
      </c>
      <c r="H479" s="41" t="s">
        <v>56</v>
      </c>
      <c r="I479" s="36" t="s">
        <v>24</v>
      </c>
      <c r="J479" s="46" t="s">
        <v>3</v>
      </c>
      <c r="K479" s="36" t="s">
        <v>1095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</row>
    <row r="480" spans="1:59" s="9" customFormat="1" ht="45" x14ac:dyDescent="0.25">
      <c r="B480" s="36">
        <v>483</v>
      </c>
      <c r="C480" s="36" t="s">
        <v>277</v>
      </c>
      <c r="D480" s="36" t="s">
        <v>278</v>
      </c>
      <c r="E480" s="36" t="s">
        <v>1487</v>
      </c>
      <c r="F480" s="39">
        <v>1340</v>
      </c>
      <c r="G480" s="47" t="s">
        <v>1094</v>
      </c>
      <c r="H480" s="41" t="s">
        <v>56</v>
      </c>
      <c r="I480" s="36" t="s">
        <v>24</v>
      </c>
      <c r="J480" s="46" t="s">
        <v>3</v>
      </c>
      <c r="K480" s="36" t="s">
        <v>1177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</row>
    <row r="481" spans="1:59" s="9" customFormat="1" ht="45" x14ac:dyDescent="0.25">
      <c r="B481" s="36">
        <v>484</v>
      </c>
      <c r="C481" s="36" t="s">
        <v>1150</v>
      </c>
      <c r="D481" s="36" t="s">
        <v>5</v>
      </c>
      <c r="E481" s="36">
        <v>979.84</v>
      </c>
      <c r="F481" s="39">
        <v>979.84</v>
      </c>
      <c r="G481" s="47" t="s">
        <v>1094</v>
      </c>
      <c r="H481" s="41" t="s">
        <v>56</v>
      </c>
      <c r="I481" s="36" t="s">
        <v>24</v>
      </c>
      <c r="J481" s="46" t="s">
        <v>3</v>
      </c>
      <c r="K481" s="36" t="s">
        <v>1178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</row>
    <row r="482" spans="1:59" ht="45" x14ac:dyDescent="0.25">
      <c r="A482" s="1"/>
      <c r="B482" s="36">
        <v>486</v>
      </c>
      <c r="C482" s="36" t="s">
        <v>330</v>
      </c>
      <c r="D482" s="36" t="s">
        <v>232</v>
      </c>
      <c r="E482" s="36">
        <v>650</v>
      </c>
      <c r="F482" s="39">
        <v>650</v>
      </c>
      <c r="G482" s="47" t="s">
        <v>1179</v>
      </c>
      <c r="H482" s="41" t="s">
        <v>56</v>
      </c>
      <c r="I482" s="36" t="s">
        <v>24</v>
      </c>
      <c r="J482" s="46" t="s">
        <v>3</v>
      </c>
      <c r="K482" s="36" t="s">
        <v>1226</v>
      </c>
    </row>
    <row r="483" spans="1:59" s="9" customFormat="1" ht="45" x14ac:dyDescent="0.25">
      <c r="B483" s="36">
        <v>487</v>
      </c>
      <c r="C483" s="36" t="s">
        <v>209</v>
      </c>
      <c r="D483" s="36" t="s">
        <v>110</v>
      </c>
      <c r="E483" s="36" t="s">
        <v>304</v>
      </c>
      <c r="F483" s="39">
        <v>1100</v>
      </c>
      <c r="G483" s="47" t="s">
        <v>1179</v>
      </c>
      <c r="H483" s="41" t="s">
        <v>56</v>
      </c>
      <c r="I483" s="36" t="s">
        <v>24</v>
      </c>
      <c r="J483" s="46" t="s">
        <v>3</v>
      </c>
      <c r="K483" s="36" t="s">
        <v>1227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</row>
    <row r="484" spans="1:59" s="9" customFormat="1" ht="45" x14ac:dyDescent="0.25">
      <c r="B484" s="36">
        <v>488</v>
      </c>
      <c r="C484" s="36" t="s">
        <v>1151</v>
      </c>
      <c r="D484" s="36" t="s">
        <v>93</v>
      </c>
      <c r="E484" s="36">
        <v>236</v>
      </c>
      <c r="F484" s="39">
        <v>236</v>
      </c>
      <c r="G484" s="47" t="s">
        <v>1180</v>
      </c>
      <c r="H484" s="41" t="s">
        <v>56</v>
      </c>
      <c r="I484" s="36" t="s">
        <v>24</v>
      </c>
      <c r="J484" s="46" t="s">
        <v>3</v>
      </c>
      <c r="K484" s="36" t="s">
        <v>1181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</row>
    <row r="485" spans="1:59" s="9" customFormat="1" ht="90" x14ac:dyDescent="0.25">
      <c r="B485" s="36">
        <v>489</v>
      </c>
      <c r="C485" s="36" t="s">
        <v>1152</v>
      </c>
      <c r="D485" s="36" t="s">
        <v>346</v>
      </c>
      <c r="E485" s="36" t="s">
        <v>1305</v>
      </c>
      <c r="F485" s="39">
        <v>2354.9</v>
      </c>
      <c r="G485" s="47" t="s">
        <v>1180</v>
      </c>
      <c r="H485" s="41" t="s">
        <v>56</v>
      </c>
      <c r="I485" s="36" t="s">
        <v>24</v>
      </c>
      <c r="J485" s="51" t="s">
        <v>398</v>
      </c>
      <c r="K485" s="36" t="s">
        <v>1182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</row>
    <row r="486" spans="1:59" s="9" customFormat="1" ht="45" x14ac:dyDescent="0.25">
      <c r="B486" s="36">
        <v>490</v>
      </c>
      <c r="C486" s="36" t="s">
        <v>1151</v>
      </c>
      <c r="D486" s="36" t="s">
        <v>108</v>
      </c>
      <c r="E486" s="36">
        <v>89.68</v>
      </c>
      <c r="F486" s="39">
        <v>89.68</v>
      </c>
      <c r="G486" s="47" t="s">
        <v>1183</v>
      </c>
      <c r="H486" s="41" t="s">
        <v>56</v>
      </c>
      <c r="I486" s="36" t="s">
        <v>24</v>
      </c>
      <c r="J486" s="46" t="s">
        <v>3</v>
      </c>
      <c r="K486" s="36" t="s">
        <v>1184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</row>
    <row r="487" spans="1:59" s="9" customFormat="1" ht="45" x14ac:dyDescent="0.25">
      <c r="B487" s="36">
        <v>491</v>
      </c>
      <c r="C487" s="36" t="s">
        <v>1153</v>
      </c>
      <c r="D487" s="36" t="s">
        <v>1154</v>
      </c>
      <c r="E487" s="36">
        <v>425</v>
      </c>
      <c r="F487" s="39">
        <v>425</v>
      </c>
      <c r="G487" s="47" t="s">
        <v>1183</v>
      </c>
      <c r="H487" s="41" t="s">
        <v>56</v>
      </c>
      <c r="I487" s="36" t="s">
        <v>24</v>
      </c>
      <c r="J487" s="51" t="s">
        <v>8</v>
      </c>
      <c r="K487" s="36" t="s">
        <v>1185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</row>
    <row r="488" spans="1:59" s="9" customFormat="1" ht="11.25" x14ac:dyDescent="0.25">
      <c r="B488" s="36">
        <v>492</v>
      </c>
      <c r="C488" s="36" t="s">
        <v>1155</v>
      </c>
      <c r="D488" s="36" t="s">
        <v>21</v>
      </c>
      <c r="E488" s="36">
        <f>365+1825</f>
        <v>2190</v>
      </c>
      <c r="F488" s="39">
        <v>2190</v>
      </c>
      <c r="G488" s="47" t="s">
        <v>1183</v>
      </c>
      <c r="H488" s="41" t="s">
        <v>56</v>
      </c>
      <c r="I488" s="36" t="s">
        <v>7</v>
      </c>
      <c r="J488" s="46"/>
      <c r="K488" s="36" t="s">
        <v>1186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</row>
    <row r="489" spans="1:59" s="9" customFormat="1" ht="45" x14ac:dyDescent="0.25">
      <c r="B489" s="36">
        <v>493</v>
      </c>
      <c r="C489" s="36" t="s">
        <v>1151</v>
      </c>
      <c r="D489" s="36" t="s">
        <v>93</v>
      </c>
      <c r="E489" s="36">
        <v>177</v>
      </c>
      <c r="F489" s="39">
        <v>177</v>
      </c>
      <c r="G489" s="47" t="s">
        <v>1183</v>
      </c>
      <c r="H489" s="41" t="s">
        <v>56</v>
      </c>
      <c r="I489" s="36" t="s">
        <v>24</v>
      </c>
      <c r="J489" s="46" t="s">
        <v>3</v>
      </c>
      <c r="K489" s="36" t="s">
        <v>1522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</row>
    <row r="490" spans="1:59" s="9" customFormat="1" ht="45" x14ac:dyDescent="0.25">
      <c r="B490" s="36">
        <v>494</v>
      </c>
      <c r="C490" s="36" t="s">
        <v>120</v>
      </c>
      <c r="D490" s="36" t="s">
        <v>93</v>
      </c>
      <c r="E490" s="36">
        <v>885</v>
      </c>
      <c r="F490" s="39">
        <v>885</v>
      </c>
      <c r="G490" s="47" t="s">
        <v>1183</v>
      </c>
      <c r="H490" s="41" t="s">
        <v>56</v>
      </c>
      <c r="I490" s="36" t="s">
        <v>24</v>
      </c>
      <c r="J490" s="46" t="s">
        <v>3</v>
      </c>
      <c r="K490" s="36" t="s">
        <v>1187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</row>
    <row r="491" spans="1:59" s="9" customFormat="1" ht="45" x14ac:dyDescent="0.25">
      <c r="B491" s="36">
        <v>495</v>
      </c>
      <c r="C491" s="36" t="s">
        <v>924</v>
      </c>
      <c r="D491" s="36" t="s">
        <v>110</v>
      </c>
      <c r="E491" s="36" t="s">
        <v>1499</v>
      </c>
      <c r="F491" s="39">
        <v>2690</v>
      </c>
      <c r="G491" s="47" t="s">
        <v>1183</v>
      </c>
      <c r="H491" s="41" t="s">
        <v>56</v>
      </c>
      <c r="I491" s="36" t="s">
        <v>24</v>
      </c>
      <c r="J491" s="46" t="s">
        <v>3</v>
      </c>
      <c r="K491" s="36" t="s">
        <v>1228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</row>
    <row r="492" spans="1:59" s="9" customFormat="1" ht="45" x14ac:dyDescent="0.25">
      <c r="B492" s="36">
        <v>496</v>
      </c>
      <c r="C492" s="36" t="s">
        <v>744</v>
      </c>
      <c r="D492" s="36" t="s">
        <v>1156</v>
      </c>
      <c r="E492" s="36">
        <v>400</v>
      </c>
      <c r="F492" s="39">
        <v>400</v>
      </c>
      <c r="G492" s="47" t="s">
        <v>1183</v>
      </c>
      <c r="H492" s="41" t="s">
        <v>56</v>
      </c>
      <c r="I492" s="36" t="s">
        <v>24</v>
      </c>
      <c r="J492" s="46" t="s">
        <v>3</v>
      </c>
      <c r="K492" s="36" t="s">
        <v>1229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</row>
    <row r="493" spans="1:59" s="9" customFormat="1" ht="45" x14ac:dyDescent="0.25">
      <c r="B493" s="36">
        <v>497</v>
      </c>
      <c r="C493" s="36" t="s">
        <v>1157</v>
      </c>
      <c r="D493" s="36" t="s">
        <v>232</v>
      </c>
      <c r="E493" s="36" t="s">
        <v>1318</v>
      </c>
      <c r="F493" s="39">
        <v>1175</v>
      </c>
      <c r="G493" s="47" t="s">
        <v>1183</v>
      </c>
      <c r="H493" s="41" t="s">
        <v>56</v>
      </c>
      <c r="I493" s="36" t="s">
        <v>24</v>
      </c>
      <c r="J493" s="46" t="s">
        <v>3</v>
      </c>
      <c r="K493" s="36" t="s">
        <v>1230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</row>
    <row r="494" spans="1:59" s="9" customFormat="1" ht="45" x14ac:dyDescent="0.25">
      <c r="B494" s="36">
        <v>498</v>
      </c>
      <c r="C494" s="36" t="s">
        <v>505</v>
      </c>
      <c r="D494" s="36" t="s">
        <v>278</v>
      </c>
      <c r="E494" s="36" t="s">
        <v>1316</v>
      </c>
      <c r="F494" s="39">
        <v>3280</v>
      </c>
      <c r="G494" s="47" t="s">
        <v>1188</v>
      </c>
      <c r="H494" s="41" t="s">
        <v>56</v>
      </c>
      <c r="I494" s="36" t="s">
        <v>24</v>
      </c>
      <c r="J494" s="46" t="s">
        <v>3</v>
      </c>
      <c r="K494" s="36" t="s">
        <v>1189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</row>
    <row r="495" spans="1:59" s="9" customFormat="1" ht="45.75" x14ac:dyDescent="0.25">
      <c r="B495" s="36">
        <v>499</v>
      </c>
      <c r="C495" s="36" t="s">
        <v>1158</v>
      </c>
      <c r="D495" s="36" t="s">
        <v>1159</v>
      </c>
      <c r="E495" s="36" t="s">
        <v>1196</v>
      </c>
      <c r="F495" s="39">
        <v>1680</v>
      </c>
      <c r="G495" s="47" t="s">
        <v>1188</v>
      </c>
      <c r="H495" s="41" t="s">
        <v>56</v>
      </c>
      <c r="I495" s="36" t="s">
        <v>24</v>
      </c>
      <c r="J495" s="46" t="s">
        <v>6</v>
      </c>
      <c r="K495" s="36" t="s">
        <v>1195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</row>
    <row r="496" spans="1:59" s="9" customFormat="1" ht="45.75" x14ac:dyDescent="0.25">
      <c r="B496" s="36">
        <v>500</v>
      </c>
      <c r="C496" s="36" t="s">
        <v>1160</v>
      </c>
      <c r="D496" s="36" t="s">
        <v>930</v>
      </c>
      <c r="E496" s="36">
        <v>320</v>
      </c>
      <c r="F496" s="39">
        <v>320</v>
      </c>
      <c r="G496" s="47" t="s">
        <v>1190</v>
      </c>
      <c r="H496" s="41" t="s">
        <v>56</v>
      </c>
      <c r="I496" s="36" t="s">
        <v>24</v>
      </c>
      <c r="J496" s="46" t="s">
        <v>6</v>
      </c>
      <c r="K496" s="36" t="s">
        <v>1231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</row>
    <row r="497" spans="1:59" ht="45" x14ac:dyDescent="0.25">
      <c r="A497" s="1"/>
      <c r="B497" s="36">
        <v>501</v>
      </c>
      <c r="C497" s="36" t="s">
        <v>1161</v>
      </c>
      <c r="D497" s="36" t="s">
        <v>110</v>
      </c>
      <c r="E497" s="36">
        <v>735</v>
      </c>
      <c r="F497" s="39">
        <v>735</v>
      </c>
      <c r="G497" s="47" t="s">
        <v>1190</v>
      </c>
      <c r="H497" s="41" t="s">
        <v>56</v>
      </c>
      <c r="I497" s="36" t="s">
        <v>24</v>
      </c>
      <c r="J497" s="46" t="s">
        <v>3</v>
      </c>
      <c r="K497" s="36" t="s">
        <v>1232</v>
      </c>
    </row>
    <row r="498" spans="1:59" s="9" customFormat="1" ht="45" x14ac:dyDescent="0.25">
      <c r="B498" s="36">
        <v>502</v>
      </c>
      <c r="C498" s="36" t="s">
        <v>509</v>
      </c>
      <c r="D498" s="36" t="s">
        <v>93</v>
      </c>
      <c r="E498" s="36">
        <v>885</v>
      </c>
      <c r="F498" s="39">
        <v>885</v>
      </c>
      <c r="G498" s="47" t="s">
        <v>1191</v>
      </c>
      <c r="H498" s="41" t="s">
        <v>56</v>
      </c>
      <c r="I498" s="36" t="s">
        <v>24</v>
      </c>
      <c r="J498" s="46" t="s">
        <v>3</v>
      </c>
      <c r="K498" s="36" t="s">
        <v>1233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</row>
    <row r="499" spans="1:59" ht="45" x14ac:dyDescent="0.25">
      <c r="A499" s="1"/>
      <c r="B499" s="36">
        <v>503</v>
      </c>
      <c r="C499" s="36" t="s">
        <v>516</v>
      </c>
      <c r="D499" s="36" t="s">
        <v>110</v>
      </c>
      <c r="E499" s="36" t="s">
        <v>569</v>
      </c>
      <c r="F499" s="39">
        <v>2400</v>
      </c>
      <c r="G499" s="47" t="s">
        <v>1191</v>
      </c>
      <c r="H499" s="41" t="s">
        <v>56</v>
      </c>
      <c r="I499" s="36" t="s">
        <v>24</v>
      </c>
      <c r="J499" s="46" t="s">
        <v>3</v>
      </c>
      <c r="K499" s="36" t="s">
        <v>1234</v>
      </c>
    </row>
    <row r="500" spans="1:59" s="9" customFormat="1" ht="45" x14ac:dyDescent="0.25">
      <c r="B500" s="36">
        <v>504</v>
      </c>
      <c r="C500" s="36" t="s">
        <v>516</v>
      </c>
      <c r="D500" s="36" t="s">
        <v>232</v>
      </c>
      <c r="E500" s="36" t="s">
        <v>1483</v>
      </c>
      <c r="F500" s="39">
        <v>1400</v>
      </c>
      <c r="G500" s="47" t="s">
        <v>1191</v>
      </c>
      <c r="H500" s="41" t="s">
        <v>56</v>
      </c>
      <c r="I500" s="36" t="s">
        <v>24</v>
      </c>
      <c r="J500" s="46" t="s">
        <v>3</v>
      </c>
      <c r="K500" s="36" t="s">
        <v>1235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</row>
    <row r="501" spans="1:59" s="9" customFormat="1" ht="45" x14ac:dyDescent="0.25">
      <c r="B501" s="36">
        <v>505</v>
      </c>
      <c r="C501" s="36" t="s">
        <v>277</v>
      </c>
      <c r="D501" s="36" t="s">
        <v>278</v>
      </c>
      <c r="E501" s="36" t="s">
        <v>1494</v>
      </c>
      <c r="F501" s="39">
        <v>2340</v>
      </c>
      <c r="G501" s="47" t="s">
        <v>1191</v>
      </c>
      <c r="H501" s="41" t="s">
        <v>56</v>
      </c>
      <c r="I501" s="36" t="s">
        <v>24</v>
      </c>
      <c r="J501" s="46" t="s">
        <v>3</v>
      </c>
      <c r="K501" s="36" t="s">
        <v>1236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</row>
    <row r="502" spans="1:59" s="9" customFormat="1" ht="45" x14ac:dyDescent="0.25">
      <c r="B502" s="36">
        <v>506</v>
      </c>
      <c r="C502" s="36" t="s">
        <v>1162</v>
      </c>
      <c r="D502" s="36" t="s">
        <v>108</v>
      </c>
      <c r="E502" s="36" t="s">
        <v>1777</v>
      </c>
      <c r="F502" s="39">
        <v>600</v>
      </c>
      <c r="G502" s="47" t="s">
        <v>1192</v>
      </c>
      <c r="H502" s="41" t="s">
        <v>56</v>
      </c>
      <c r="I502" s="36" t="s">
        <v>24</v>
      </c>
      <c r="J502" s="46" t="s">
        <v>3</v>
      </c>
      <c r="K502" s="36" t="s">
        <v>1237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</row>
    <row r="503" spans="1:59" s="9" customFormat="1" ht="45" x14ac:dyDescent="0.25">
      <c r="B503" s="36">
        <v>507</v>
      </c>
      <c r="C503" s="36" t="s">
        <v>866</v>
      </c>
      <c r="D503" s="36" t="s">
        <v>232</v>
      </c>
      <c r="E503" s="36" t="s">
        <v>1317</v>
      </c>
      <c r="F503" s="39">
        <v>1975</v>
      </c>
      <c r="G503" s="47" t="s">
        <v>1192</v>
      </c>
      <c r="H503" s="41" t="s">
        <v>56</v>
      </c>
      <c r="I503" s="36" t="s">
        <v>24</v>
      </c>
      <c r="J503" s="46" t="s">
        <v>3</v>
      </c>
      <c r="K503" s="36" t="s">
        <v>1238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</row>
    <row r="504" spans="1:59" s="9" customFormat="1" ht="45" x14ac:dyDescent="0.25">
      <c r="B504" s="36">
        <v>508</v>
      </c>
      <c r="C504" s="36" t="s">
        <v>866</v>
      </c>
      <c r="D504" s="36" t="s">
        <v>110</v>
      </c>
      <c r="E504" s="36" t="s">
        <v>605</v>
      </c>
      <c r="F504" s="39">
        <v>1750</v>
      </c>
      <c r="G504" s="47" t="s">
        <v>1192</v>
      </c>
      <c r="H504" s="41" t="s">
        <v>56</v>
      </c>
      <c r="I504" s="36" t="s">
        <v>24</v>
      </c>
      <c r="J504" s="46" t="s">
        <v>3</v>
      </c>
      <c r="K504" s="36" t="s">
        <v>1239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</row>
    <row r="505" spans="1:59" s="9" customFormat="1" ht="90" x14ac:dyDescent="0.25">
      <c r="B505" s="36">
        <v>509</v>
      </c>
      <c r="C505" s="36" t="s">
        <v>1152</v>
      </c>
      <c r="D505" s="36" t="s">
        <v>1163</v>
      </c>
      <c r="E505" s="36" t="s">
        <v>1496</v>
      </c>
      <c r="F505" s="39">
        <v>224906.11</v>
      </c>
      <c r="G505" s="47" t="s">
        <v>1192</v>
      </c>
      <c r="H505" s="41" t="s">
        <v>56</v>
      </c>
      <c r="I505" s="36" t="s">
        <v>24</v>
      </c>
      <c r="J505" s="51" t="s">
        <v>1193</v>
      </c>
      <c r="K505" s="36" t="s">
        <v>1240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</row>
    <row r="506" spans="1:59" s="9" customFormat="1" ht="45" x14ac:dyDescent="0.25">
      <c r="B506" s="36">
        <v>510</v>
      </c>
      <c r="C506" s="36" t="s">
        <v>1164</v>
      </c>
      <c r="D506" s="36" t="s">
        <v>93</v>
      </c>
      <c r="E506" s="36">
        <v>531</v>
      </c>
      <c r="F506" s="39">
        <v>531</v>
      </c>
      <c r="G506" s="47" t="s">
        <v>1194</v>
      </c>
      <c r="H506" s="41" t="s">
        <v>56</v>
      </c>
      <c r="I506" s="36" t="s">
        <v>24</v>
      </c>
      <c r="J506" s="46" t="s">
        <v>3</v>
      </c>
      <c r="K506" s="36" t="s">
        <v>1241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</row>
    <row r="507" spans="1:59" s="9" customFormat="1" ht="45" x14ac:dyDescent="0.25">
      <c r="B507" s="36">
        <v>511</v>
      </c>
      <c r="C507" s="36" t="s">
        <v>277</v>
      </c>
      <c r="D507" s="36" t="s">
        <v>278</v>
      </c>
      <c r="E507" s="36" t="s">
        <v>1495</v>
      </c>
      <c r="F507" s="39">
        <v>10168</v>
      </c>
      <c r="G507" s="47" t="s">
        <v>1194</v>
      </c>
      <c r="H507" s="41" t="s">
        <v>56</v>
      </c>
      <c r="I507" s="36" t="s">
        <v>24</v>
      </c>
      <c r="J507" s="46" t="s">
        <v>3</v>
      </c>
      <c r="K507" s="36" t="s">
        <v>1242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</row>
    <row r="508" spans="1:59" s="9" customFormat="1" ht="45" x14ac:dyDescent="0.25">
      <c r="B508" s="36">
        <v>512</v>
      </c>
      <c r="C508" s="36" t="s">
        <v>273</v>
      </c>
      <c r="D508" s="36" t="s">
        <v>232</v>
      </c>
      <c r="E508" s="39">
        <v>337.5</v>
      </c>
      <c r="F508" s="39">
        <v>337.5</v>
      </c>
      <c r="G508" s="47" t="s">
        <v>1194</v>
      </c>
      <c r="H508" s="41" t="s">
        <v>56</v>
      </c>
      <c r="I508" s="36" t="s">
        <v>24</v>
      </c>
      <c r="J508" s="46" t="s">
        <v>3</v>
      </c>
      <c r="K508" s="36" t="s">
        <v>1243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</row>
    <row r="509" spans="1:59" s="9" customFormat="1" ht="45" x14ac:dyDescent="0.25">
      <c r="B509" s="36">
        <v>513</v>
      </c>
      <c r="C509" s="36" t="s">
        <v>209</v>
      </c>
      <c r="D509" s="36" t="s">
        <v>110</v>
      </c>
      <c r="E509" s="36">
        <v>800</v>
      </c>
      <c r="F509" s="39">
        <v>800</v>
      </c>
      <c r="G509" s="47" t="s">
        <v>1194</v>
      </c>
      <c r="H509" s="41" t="s">
        <v>56</v>
      </c>
      <c r="I509" s="36" t="s">
        <v>24</v>
      </c>
      <c r="J509" s="46" t="s">
        <v>3</v>
      </c>
      <c r="K509" s="36" t="s">
        <v>1244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</row>
    <row r="510" spans="1:59" s="9" customFormat="1" ht="90" x14ac:dyDescent="0.25">
      <c r="B510" s="36">
        <v>514</v>
      </c>
      <c r="C510" s="36" t="s">
        <v>1319</v>
      </c>
      <c r="D510" s="36" t="s">
        <v>358</v>
      </c>
      <c r="E510" s="36">
        <f>400+500+600</f>
        <v>1500</v>
      </c>
      <c r="F510" s="39">
        <v>1500</v>
      </c>
      <c r="G510" s="47" t="s">
        <v>1194</v>
      </c>
      <c r="H510" s="41" t="s">
        <v>56</v>
      </c>
      <c r="I510" s="36" t="s">
        <v>24</v>
      </c>
      <c r="J510" s="51" t="s">
        <v>398</v>
      </c>
      <c r="K510" s="36" t="s">
        <v>1245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</row>
    <row r="511" spans="1:59" s="9" customFormat="1" ht="11.25" x14ac:dyDescent="0.25">
      <c r="B511" s="36">
        <v>515</v>
      </c>
      <c r="C511" s="36" t="s">
        <v>678</v>
      </c>
      <c r="D511" s="36" t="s">
        <v>900</v>
      </c>
      <c r="E511" s="36">
        <f>12800+5400+1400+1100+14400+5900</f>
        <v>41000</v>
      </c>
      <c r="F511" s="39">
        <v>41000</v>
      </c>
      <c r="G511" s="47" t="s">
        <v>1402</v>
      </c>
      <c r="H511" s="41" t="s">
        <v>56</v>
      </c>
      <c r="I511" s="36" t="s">
        <v>24</v>
      </c>
      <c r="J511" s="46" t="s">
        <v>1403</v>
      </c>
      <c r="K511" s="3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</row>
    <row r="512" spans="1:59" s="9" customFormat="1" ht="90" x14ac:dyDescent="0.25">
      <c r="B512" s="36">
        <v>516</v>
      </c>
      <c r="C512" s="36" t="s">
        <v>1320</v>
      </c>
      <c r="D512" s="36" t="s">
        <v>651</v>
      </c>
      <c r="E512" s="56"/>
      <c r="F512" s="39">
        <v>50000</v>
      </c>
      <c r="G512" s="47" t="s">
        <v>1402</v>
      </c>
      <c r="H512" s="41" t="s">
        <v>56</v>
      </c>
      <c r="I512" s="36" t="s">
        <v>24</v>
      </c>
      <c r="J512" s="51" t="s">
        <v>693</v>
      </c>
      <c r="K512" s="36" t="s">
        <v>1246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</row>
    <row r="513" spans="2:59" s="9" customFormat="1" ht="45" x14ac:dyDescent="0.25">
      <c r="B513" s="36">
        <v>517</v>
      </c>
      <c r="C513" s="36" t="s">
        <v>1321</v>
      </c>
      <c r="D513" s="36" t="s">
        <v>1322</v>
      </c>
      <c r="E513" s="36">
        <v>368.5</v>
      </c>
      <c r="F513" s="39">
        <v>550</v>
      </c>
      <c r="G513" s="47" t="s">
        <v>1402</v>
      </c>
      <c r="H513" s="41" t="s">
        <v>56</v>
      </c>
      <c r="I513" s="36" t="s">
        <v>24</v>
      </c>
      <c r="J513" s="46" t="s">
        <v>3</v>
      </c>
      <c r="K513" s="36" t="s">
        <v>1247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</row>
    <row r="514" spans="2:59" s="3" customFormat="1" ht="45" x14ac:dyDescent="0.25">
      <c r="B514" s="36">
        <v>518</v>
      </c>
      <c r="C514" s="36" t="s">
        <v>1323</v>
      </c>
      <c r="D514" s="36" t="s">
        <v>108</v>
      </c>
      <c r="E514" s="36">
        <v>550</v>
      </c>
      <c r="F514" s="39">
        <v>550</v>
      </c>
      <c r="G514" s="47" t="s">
        <v>1402</v>
      </c>
      <c r="H514" s="41" t="s">
        <v>56</v>
      </c>
      <c r="I514" s="36" t="s">
        <v>24</v>
      </c>
      <c r="J514" s="46" t="s">
        <v>3</v>
      </c>
      <c r="K514" s="36" t="s">
        <v>1248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</row>
    <row r="515" spans="2:59" s="9" customFormat="1" ht="45" x14ac:dyDescent="0.25">
      <c r="B515" s="36">
        <v>519</v>
      </c>
      <c r="C515" s="36" t="s">
        <v>1323</v>
      </c>
      <c r="D515" s="36" t="s">
        <v>1156</v>
      </c>
      <c r="E515" s="36" t="s">
        <v>1526</v>
      </c>
      <c r="F515" s="39">
        <v>1900</v>
      </c>
      <c r="G515" s="47" t="s">
        <v>1402</v>
      </c>
      <c r="H515" s="41" t="s">
        <v>56</v>
      </c>
      <c r="I515" s="36" t="s">
        <v>24</v>
      </c>
      <c r="J515" s="46" t="s">
        <v>3</v>
      </c>
      <c r="K515" s="36" t="s">
        <v>1249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</row>
    <row r="516" spans="2:59" s="9" customFormat="1" ht="45" x14ac:dyDescent="0.25">
      <c r="B516" s="36">
        <v>520</v>
      </c>
      <c r="C516" s="36" t="s">
        <v>1324</v>
      </c>
      <c r="D516" s="36" t="s">
        <v>1156</v>
      </c>
      <c r="E516" s="36" t="s">
        <v>1508</v>
      </c>
      <c r="F516" s="39">
        <v>1807.5</v>
      </c>
      <c r="G516" s="47" t="s">
        <v>1402</v>
      </c>
      <c r="H516" s="41" t="s">
        <v>56</v>
      </c>
      <c r="I516" s="36" t="s">
        <v>24</v>
      </c>
      <c r="J516" s="46" t="s">
        <v>3</v>
      </c>
      <c r="K516" s="36" t="s">
        <v>1250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</row>
    <row r="517" spans="2:59" s="9" customFormat="1" ht="45" x14ac:dyDescent="0.25">
      <c r="B517" s="36">
        <v>521</v>
      </c>
      <c r="C517" s="36" t="s">
        <v>1324</v>
      </c>
      <c r="D517" s="36" t="s">
        <v>108</v>
      </c>
      <c r="E517" s="36">
        <v>660</v>
      </c>
      <c r="F517" s="39">
        <v>660</v>
      </c>
      <c r="G517" s="47" t="s">
        <v>1402</v>
      </c>
      <c r="H517" s="41" t="s">
        <v>56</v>
      </c>
      <c r="I517" s="36" t="s">
        <v>24</v>
      </c>
      <c r="J517" s="46" t="s">
        <v>3</v>
      </c>
      <c r="K517" s="36" t="s">
        <v>1251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</row>
    <row r="518" spans="2:59" s="9" customFormat="1" ht="45" x14ac:dyDescent="0.25">
      <c r="B518" s="36">
        <v>522</v>
      </c>
      <c r="C518" s="36" t="s">
        <v>74</v>
      </c>
      <c r="D518" s="36" t="s">
        <v>108</v>
      </c>
      <c r="E518" s="36">
        <v>544</v>
      </c>
      <c r="F518" s="39">
        <v>550</v>
      </c>
      <c r="G518" s="47" t="s">
        <v>1402</v>
      </c>
      <c r="H518" s="41" t="s">
        <v>56</v>
      </c>
      <c r="I518" s="36" t="s">
        <v>24</v>
      </c>
      <c r="J518" s="46" t="s">
        <v>3</v>
      </c>
      <c r="K518" s="36" t="s">
        <v>1252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</row>
    <row r="519" spans="2:59" s="9" customFormat="1" ht="45" x14ac:dyDescent="0.25">
      <c r="B519" s="36">
        <v>524</v>
      </c>
      <c r="C519" s="36" t="s">
        <v>330</v>
      </c>
      <c r="D519" s="36" t="s">
        <v>232</v>
      </c>
      <c r="E519" s="36" t="s">
        <v>1507</v>
      </c>
      <c r="F519" s="39">
        <v>1950</v>
      </c>
      <c r="G519" s="47" t="s">
        <v>1402</v>
      </c>
      <c r="H519" s="41" t="s">
        <v>56</v>
      </c>
      <c r="I519" s="36" t="s">
        <v>24</v>
      </c>
      <c r="J519" s="46" t="s">
        <v>3</v>
      </c>
      <c r="K519" s="36" t="s">
        <v>1253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</row>
    <row r="520" spans="2:59" s="9" customFormat="1" ht="45" x14ac:dyDescent="0.25">
      <c r="B520" s="36">
        <v>525</v>
      </c>
      <c r="C520" s="36" t="s">
        <v>1325</v>
      </c>
      <c r="D520" s="36" t="s">
        <v>110</v>
      </c>
      <c r="E520" s="36" t="s">
        <v>1506</v>
      </c>
      <c r="F520" s="39">
        <v>3200</v>
      </c>
      <c r="G520" s="47" t="s">
        <v>1402</v>
      </c>
      <c r="H520" s="41" t="s">
        <v>56</v>
      </c>
      <c r="I520" s="36" t="s">
        <v>24</v>
      </c>
      <c r="J520" s="46" t="s">
        <v>3</v>
      </c>
      <c r="K520" s="36" t="s">
        <v>1404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</row>
    <row r="521" spans="2:59" s="9" customFormat="1" ht="90" x14ac:dyDescent="0.25">
      <c r="B521" s="36">
        <v>526</v>
      </c>
      <c r="C521" s="36" t="s">
        <v>1326</v>
      </c>
      <c r="D521" s="36" t="s">
        <v>1327</v>
      </c>
      <c r="E521" s="36" t="s">
        <v>2164</v>
      </c>
      <c r="F521" s="39">
        <v>316064</v>
      </c>
      <c r="G521" s="47" t="s">
        <v>1402</v>
      </c>
      <c r="H521" s="41" t="s">
        <v>56</v>
      </c>
      <c r="I521" s="36" t="s">
        <v>24</v>
      </c>
      <c r="J521" s="51" t="s">
        <v>398</v>
      </c>
      <c r="K521" s="36" t="s">
        <v>1405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</row>
    <row r="522" spans="2:59" s="9" customFormat="1" ht="45" x14ac:dyDescent="0.25">
      <c r="B522" s="36">
        <v>527</v>
      </c>
      <c r="C522" s="36" t="s">
        <v>209</v>
      </c>
      <c r="D522" s="36" t="s">
        <v>110</v>
      </c>
      <c r="E522" s="36" t="s">
        <v>1498</v>
      </c>
      <c r="F522" s="39">
        <v>6000</v>
      </c>
      <c r="G522" s="47" t="s">
        <v>1406</v>
      </c>
      <c r="H522" s="41" t="s">
        <v>56</v>
      </c>
      <c r="I522" s="36" t="s">
        <v>24</v>
      </c>
      <c r="J522" s="46" t="s">
        <v>3</v>
      </c>
      <c r="K522" s="36" t="s">
        <v>1407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</row>
    <row r="523" spans="2:59" s="9" customFormat="1" ht="45" x14ac:dyDescent="0.25">
      <c r="B523" s="36">
        <v>528</v>
      </c>
      <c r="C523" s="36" t="s">
        <v>264</v>
      </c>
      <c r="D523" s="36" t="s">
        <v>232</v>
      </c>
      <c r="E523" s="36" t="s">
        <v>1503</v>
      </c>
      <c r="F523" s="39">
        <v>2275</v>
      </c>
      <c r="G523" s="47" t="s">
        <v>1406</v>
      </c>
      <c r="H523" s="41" t="s">
        <v>56</v>
      </c>
      <c r="I523" s="36" t="s">
        <v>24</v>
      </c>
      <c r="J523" s="46" t="s">
        <v>3</v>
      </c>
      <c r="K523" s="36" t="s">
        <v>1408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</row>
    <row r="524" spans="2:59" s="9" customFormat="1" ht="45" x14ac:dyDescent="0.25">
      <c r="B524" s="36">
        <v>529</v>
      </c>
      <c r="C524" s="36" t="s">
        <v>231</v>
      </c>
      <c r="D524" s="36" t="s">
        <v>232</v>
      </c>
      <c r="E524" s="36" t="s">
        <v>1502</v>
      </c>
      <c r="F524" s="39">
        <v>2040</v>
      </c>
      <c r="G524" s="47" t="s">
        <v>1406</v>
      </c>
      <c r="H524" s="41" t="s">
        <v>56</v>
      </c>
      <c r="I524" s="36" t="s">
        <v>24</v>
      </c>
      <c r="J524" s="46" t="s">
        <v>3</v>
      </c>
      <c r="K524" s="36" t="s">
        <v>1409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</row>
    <row r="525" spans="2:59" s="9" customFormat="1" ht="45" x14ac:dyDescent="0.25">
      <c r="B525" s="36">
        <v>530</v>
      </c>
      <c r="C525" s="36" t="s">
        <v>326</v>
      </c>
      <c r="D525" s="36" t="s">
        <v>108</v>
      </c>
      <c r="E525" s="36">
        <v>888.8</v>
      </c>
      <c r="F525" s="39">
        <v>960</v>
      </c>
      <c r="G525" s="47" t="s">
        <v>1406</v>
      </c>
      <c r="H525" s="41" t="s">
        <v>56</v>
      </c>
      <c r="I525" s="36" t="s">
        <v>24</v>
      </c>
      <c r="J525" s="46" t="s">
        <v>3</v>
      </c>
      <c r="K525" s="36" t="s">
        <v>1254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</row>
    <row r="526" spans="2:59" s="9" customFormat="1" ht="45" x14ac:dyDescent="0.25">
      <c r="B526" s="36">
        <v>531</v>
      </c>
      <c r="C526" s="36" t="s">
        <v>744</v>
      </c>
      <c r="D526" s="36" t="s">
        <v>108</v>
      </c>
      <c r="E526" s="36">
        <v>800</v>
      </c>
      <c r="F526" s="39">
        <v>800</v>
      </c>
      <c r="G526" s="47" t="s">
        <v>1406</v>
      </c>
      <c r="H526" s="41" t="s">
        <v>56</v>
      </c>
      <c r="I526" s="36" t="s">
        <v>24</v>
      </c>
      <c r="J526" s="46" t="s">
        <v>3</v>
      </c>
      <c r="K526" s="36" t="s">
        <v>1255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</row>
    <row r="527" spans="2:59" s="9" customFormat="1" ht="45" x14ac:dyDescent="0.25">
      <c r="B527" s="36">
        <v>532</v>
      </c>
      <c r="C527" s="36" t="s">
        <v>865</v>
      </c>
      <c r="D527" s="36" t="s">
        <v>108</v>
      </c>
      <c r="E527" s="36">
        <v>815.1</v>
      </c>
      <c r="F527" s="39">
        <v>960</v>
      </c>
      <c r="G527" s="47" t="s">
        <v>1406</v>
      </c>
      <c r="H527" s="41" t="s">
        <v>56</v>
      </c>
      <c r="I527" s="36" t="s">
        <v>24</v>
      </c>
      <c r="J527" s="46" t="s">
        <v>3</v>
      </c>
      <c r="K527" s="36" t="s">
        <v>1256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</row>
    <row r="528" spans="2:59" s="9" customFormat="1" ht="45" x14ac:dyDescent="0.25">
      <c r="B528" s="36">
        <v>533</v>
      </c>
      <c r="C528" s="36" t="s">
        <v>1328</v>
      </c>
      <c r="D528" s="36" t="s">
        <v>108</v>
      </c>
      <c r="E528" s="36">
        <v>709.55</v>
      </c>
      <c r="F528" s="39">
        <v>800</v>
      </c>
      <c r="G528" s="47" t="s">
        <v>1406</v>
      </c>
      <c r="H528" s="41" t="s">
        <v>56</v>
      </c>
      <c r="I528" s="36" t="s">
        <v>24</v>
      </c>
      <c r="J528" s="46" t="s">
        <v>3</v>
      </c>
      <c r="K528" s="36" t="s">
        <v>1257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</row>
    <row r="529" spans="2:59" s="9" customFormat="1" ht="45" x14ac:dyDescent="0.25">
      <c r="B529" s="36">
        <v>534</v>
      </c>
      <c r="C529" s="36" t="s">
        <v>139</v>
      </c>
      <c r="D529" s="36" t="s">
        <v>108</v>
      </c>
      <c r="E529" s="36">
        <f>574.93 +356.04+151.11 +118+307.4+142.31+398.99+179.48+416.07+116.82+43.54+232.57+1200+57.44</f>
        <v>4294.7</v>
      </c>
      <c r="F529" s="39">
        <v>7000</v>
      </c>
      <c r="G529" s="47" t="s">
        <v>1406</v>
      </c>
      <c r="H529" s="41" t="s">
        <v>28</v>
      </c>
      <c r="I529" s="36" t="s">
        <v>24</v>
      </c>
      <c r="J529" s="46" t="s">
        <v>3</v>
      </c>
      <c r="K529" s="36" t="s">
        <v>1410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</row>
    <row r="530" spans="2:59" s="9" customFormat="1" ht="45" x14ac:dyDescent="0.25">
      <c r="B530" s="36">
        <v>535</v>
      </c>
      <c r="C530" s="36" t="s">
        <v>256</v>
      </c>
      <c r="D530" s="36" t="s">
        <v>108</v>
      </c>
      <c r="E530" s="36">
        <f>170.78+234.13+465.3+97.02+447.48</f>
        <v>1414.71</v>
      </c>
      <c r="F530" s="39">
        <v>5000</v>
      </c>
      <c r="G530" s="47" t="s">
        <v>1406</v>
      </c>
      <c r="H530" s="41" t="s">
        <v>28</v>
      </c>
      <c r="I530" s="36" t="s">
        <v>24</v>
      </c>
      <c r="J530" s="46" t="s">
        <v>3</v>
      </c>
      <c r="K530" s="36" t="s">
        <v>1258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</row>
    <row r="531" spans="2:59" s="9" customFormat="1" ht="45" x14ac:dyDescent="0.25">
      <c r="B531" s="36">
        <v>536</v>
      </c>
      <c r="C531" s="36" t="s">
        <v>187</v>
      </c>
      <c r="D531" s="36" t="s">
        <v>108</v>
      </c>
      <c r="E531" s="36">
        <f>462.22+80.63+431.2+446.05+484.55+85+1359.6+1360.15</f>
        <v>4709.3999999999996</v>
      </c>
      <c r="F531" s="39">
        <v>5000</v>
      </c>
      <c r="G531" s="47" t="s">
        <v>1406</v>
      </c>
      <c r="H531" s="41" t="s">
        <v>28</v>
      </c>
      <c r="I531" s="36" t="s">
        <v>24</v>
      </c>
      <c r="J531" s="46" t="s">
        <v>3</v>
      </c>
      <c r="K531" s="36" t="s">
        <v>1259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</row>
    <row r="532" spans="2:59" s="9" customFormat="1" ht="45" x14ac:dyDescent="0.25">
      <c r="B532" s="36">
        <v>538</v>
      </c>
      <c r="C532" s="36" t="s">
        <v>1151</v>
      </c>
      <c r="D532" s="36" t="s">
        <v>1156</v>
      </c>
      <c r="E532" s="36" t="s">
        <v>1532</v>
      </c>
      <c r="F532" s="39">
        <v>5947.2</v>
      </c>
      <c r="G532" s="47" t="s">
        <v>1406</v>
      </c>
      <c r="H532" s="41" t="s">
        <v>56</v>
      </c>
      <c r="I532" s="36" t="s">
        <v>24</v>
      </c>
      <c r="J532" s="46" t="s">
        <v>3</v>
      </c>
      <c r="K532" s="36" t="s">
        <v>1260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</row>
    <row r="533" spans="2:59" s="9" customFormat="1" ht="45" x14ac:dyDescent="0.25">
      <c r="B533" s="36">
        <v>539</v>
      </c>
      <c r="C533" s="36" t="s">
        <v>924</v>
      </c>
      <c r="D533" s="36" t="s">
        <v>110</v>
      </c>
      <c r="E533" s="36" t="s">
        <v>1505</v>
      </c>
      <c r="F533" s="39">
        <v>1610</v>
      </c>
      <c r="G533" s="47" t="s">
        <v>1406</v>
      </c>
      <c r="H533" s="41" t="s">
        <v>56</v>
      </c>
      <c r="I533" s="36" t="s">
        <v>24</v>
      </c>
      <c r="J533" s="46" t="s">
        <v>3</v>
      </c>
      <c r="K533" s="36" t="s">
        <v>1261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</row>
    <row r="534" spans="2:59" s="9" customFormat="1" ht="45" x14ac:dyDescent="0.25">
      <c r="B534" s="36">
        <v>540</v>
      </c>
      <c r="C534" s="36" t="s">
        <v>326</v>
      </c>
      <c r="D534" s="36" t="s">
        <v>108</v>
      </c>
      <c r="E534" s="36" t="s">
        <v>1491</v>
      </c>
      <c r="F534" s="39">
        <v>1980</v>
      </c>
      <c r="G534" s="47" t="s">
        <v>1406</v>
      </c>
      <c r="H534" s="41" t="s">
        <v>56</v>
      </c>
      <c r="I534" s="36" t="s">
        <v>24</v>
      </c>
      <c r="J534" s="46" t="s">
        <v>3</v>
      </c>
      <c r="K534" s="36" t="s">
        <v>1262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</row>
    <row r="535" spans="2:59" s="9" customFormat="1" ht="45" x14ac:dyDescent="0.25">
      <c r="B535" s="36">
        <v>541</v>
      </c>
      <c r="C535" s="36" t="s">
        <v>494</v>
      </c>
      <c r="D535" s="36" t="s">
        <v>110</v>
      </c>
      <c r="E535" s="36" t="s">
        <v>841</v>
      </c>
      <c r="F535" s="39">
        <v>2600</v>
      </c>
      <c r="G535" s="47" t="s">
        <v>1406</v>
      </c>
      <c r="H535" s="41" t="s">
        <v>56</v>
      </c>
      <c r="I535" s="36" t="s">
        <v>24</v>
      </c>
      <c r="J535" s="46" t="s">
        <v>3</v>
      </c>
      <c r="K535" s="36" t="s">
        <v>1263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</row>
    <row r="536" spans="2:59" s="9" customFormat="1" ht="45" x14ac:dyDescent="0.25">
      <c r="B536" s="36">
        <v>542</v>
      </c>
      <c r="C536" s="36" t="s">
        <v>861</v>
      </c>
      <c r="D536" s="36" t="s">
        <v>232</v>
      </c>
      <c r="E536" s="36" t="s">
        <v>1504</v>
      </c>
      <c r="F536" s="39">
        <v>2592.5</v>
      </c>
      <c r="G536" s="47" t="s">
        <v>1406</v>
      </c>
      <c r="H536" s="41" t="s">
        <v>56</v>
      </c>
      <c r="I536" s="36" t="s">
        <v>24</v>
      </c>
      <c r="J536" s="46" t="s">
        <v>3</v>
      </c>
      <c r="K536" s="36" t="s">
        <v>1264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</row>
    <row r="537" spans="2:59" s="9" customFormat="1" ht="45" x14ac:dyDescent="0.25">
      <c r="B537" s="36">
        <v>543</v>
      </c>
      <c r="C537" s="36" t="s">
        <v>132</v>
      </c>
      <c r="D537" s="36" t="s">
        <v>1156</v>
      </c>
      <c r="E537" s="36" t="s">
        <v>1515</v>
      </c>
      <c r="F537" s="39">
        <v>2985</v>
      </c>
      <c r="G537" s="47" t="s">
        <v>1406</v>
      </c>
      <c r="H537" s="41" t="s">
        <v>56</v>
      </c>
      <c r="I537" s="36" t="s">
        <v>24</v>
      </c>
      <c r="J537" s="46" t="s">
        <v>3</v>
      </c>
      <c r="K537" s="36" t="s">
        <v>1265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</row>
    <row r="538" spans="2:59" s="9" customFormat="1" ht="45" x14ac:dyDescent="0.25">
      <c r="B538" s="36">
        <v>544</v>
      </c>
      <c r="C538" s="36" t="s">
        <v>893</v>
      </c>
      <c r="D538" s="36" t="s">
        <v>108</v>
      </c>
      <c r="E538" s="36">
        <v>960</v>
      </c>
      <c r="F538" s="39">
        <v>960</v>
      </c>
      <c r="G538" s="47" t="s">
        <v>1406</v>
      </c>
      <c r="H538" s="41" t="s">
        <v>56</v>
      </c>
      <c r="I538" s="36" t="s">
        <v>24</v>
      </c>
      <c r="J538" s="46" t="s">
        <v>3</v>
      </c>
      <c r="K538" s="36" t="s">
        <v>1266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</row>
    <row r="539" spans="2:59" s="9" customFormat="1" ht="45" x14ac:dyDescent="0.25">
      <c r="B539" s="36">
        <v>545</v>
      </c>
      <c r="C539" s="36" t="s">
        <v>132</v>
      </c>
      <c r="D539" s="36" t="s">
        <v>108</v>
      </c>
      <c r="E539" s="36">
        <v>958</v>
      </c>
      <c r="F539" s="39">
        <v>960</v>
      </c>
      <c r="G539" s="47" t="s">
        <v>1406</v>
      </c>
      <c r="H539" s="41" t="s">
        <v>56</v>
      </c>
      <c r="I539" s="36" t="s">
        <v>24</v>
      </c>
      <c r="J539" s="46" t="s">
        <v>3</v>
      </c>
      <c r="K539" s="36" t="s">
        <v>1267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</row>
    <row r="540" spans="2:59" s="9" customFormat="1" ht="45" x14ac:dyDescent="0.25">
      <c r="B540" s="36">
        <v>546</v>
      </c>
      <c r="C540" s="36" t="s">
        <v>316</v>
      </c>
      <c r="D540" s="36" t="s">
        <v>108</v>
      </c>
      <c r="E540" s="36">
        <v>283</v>
      </c>
      <c r="F540" s="39">
        <v>800</v>
      </c>
      <c r="G540" s="47" t="s">
        <v>1406</v>
      </c>
      <c r="H540" s="41" t="s">
        <v>56</v>
      </c>
      <c r="I540" s="36" t="s">
        <v>24</v>
      </c>
      <c r="J540" s="46" t="s">
        <v>3</v>
      </c>
      <c r="K540" s="36" t="s">
        <v>1268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</row>
    <row r="541" spans="2:59" s="9" customFormat="1" ht="45" x14ac:dyDescent="0.25">
      <c r="B541" s="36">
        <v>547</v>
      </c>
      <c r="C541" s="36" t="s">
        <v>948</v>
      </c>
      <c r="D541" s="36" t="s">
        <v>108</v>
      </c>
      <c r="E541" s="36">
        <v>957</v>
      </c>
      <c r="F541" s="39">
        <v>960</v>
      </c>
      <c r="G541" s="47" t="s">
        <v>1406</v>
      </c>
      <c r="H541" s="41" t="s">
        <v>56</v>
      </c>
      <c r="I541" s="36" t="s">
        <v>24</v>
      </c>
      <c r="J541" s="46" t="s">
        <v>3</v>
      </c>
      <c r="K541" s="36" t="s">
        <v>1269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</row>
    <row r="542" spans="2:59" s="9" customFormat="1" ht="45" x14ac:dyDescent="0.25">
      <c r="B542" s="36">
        <v>548</v>
      </c>
      <c r="C542" s="36" t="s">
        <v>1329</v>
      </c>
      <c r="D542" s="36" t="s">
        <v>93</v>
      </c>
      <c r="E542" s="36" t="s">
        <v>1497</v>
      </c>
      <c r="F542" s="39">
        <v>3097.5</v>
      </c>
      <c r="G542" s="47" t="s">
        <v>1406</v>
      </c>
      <c r="H542" s="41" t="s">
        <v>56</v>
      </c>
      <c r="I542" s="36" t="s">
        <v>24</v>
      </c>
      <c r="J542" s="46" t="s">
        <v>3</v>
      </c>
      <c r="K542" s="36" t="s">
        <v>1270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</row>
    <row r="543" spans="2:59" s="9" customFormat="1" ht="45" x14ac:dyDescent="0.25">
      <c r="B543" s="36">
        <v>549</v>
      </c>
      <c r="C543" s="63" t="s">
        <v>1330</v>
      </c>
      <c r="D543" s="36" t="s">
        <v>1156</v>
      </c>
      <c r="E543" s="36" t="s">
        <v>1514</v>
      </c>
      <c r="F543" s="39">
        <v>23923.200000000001</v>
      </c>
      <c r="G543" s="47" t="s">
        <v>1406</v>
      </c>
      <c r="H543" s="41" t="s">
        <v>56</v>
      </c>
      <c r="I543" s="36" t="s">
        <v>24</v>
      </c>
      <c r="J543" s="46" t="s">
        <v>3</v>
      </c>
      <c r="K543" s="36" t="s">
        <v>1271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</row>
    <row r="544" spans="2:59" s="9" customFormat="1" ht="45" x14ac:dyDescent="0.25">
      <c r="B544" s="36">
        <v>550</v>
      </c>
      <c r="C544" s="36" t="s">
        <v>496</v>
      </c>
      <c r="D544" s="36" t="s">
        <v>1331</v>
      </c>
      <c r="E544" s="36" t="s">
        <v>605</v>
      </c>
      <c r="F544" s="39">
        <v>1750</v>
      </c>
      <c r="G544" s="47" t="s">
        <v>1406</v>
      </c>
      <c r="H544" s="41" t="s">
        <v>56</v>
      </c>
      <c r="I544" s="36" t="s">
        <v>24</v>
      </c>
      <c r="J544" s="46" t="s">
        <v>3</v>
      </c>
      <c r="K544" s="36" t="s">
        <v>1272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</row>
    <row r="545" spans="1:59" s="9" customFormat="1" ht="22.5" customHeight="1" x14ac:dyDescent="0.25">
      <c r="B545" s="36">
        <v>551</v>
      </c>
      <c r="C545" s="36" t="s">
        <v>277</v>
      </c>
      <c r="D545" s="36" t="s">
        <v>278</v>
      </c>
      <c r="E545" s="36">
        <v>740</v>
      </c>
      <c r="F545" s="39">
        <v>740</v>
      </c>
      <c r="G545" s="47" t="s">
        <v>1406</v>
      </c>
      <c r="H545" s="41" t="s">
        <v>56</v>
      </c>
      <c r="I545" s="36" t="s">
        <v>24</v>
      </c>
      <c r="J545" s="46" t="s">
        <v>3</v>
      </c>
      <c r="K545" s="36" t="s">
        <v>1273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</row>
    <row r="546" spans="1:59" s="9" customFormat="1" ht="45" x14ac:dyDescent="0.25">
      <c r="B546" s="36">
        <v>552</v>
      </c>
      <c r="C546" s="36" t="s">
        <v>277</v>
      </c>
      <c r="D546" s="36" t="s">
        <v>278</v>
      </c>
      <c r="E546" s="36" t="s">
        <v>1519</v>
      </c>
      <c r="F546" s="39">
        <v>4656</v>
      </c>
      <c r="G546" s="47" t="s">
        <v>1411</v>
      </c>
      <c r="H546" s="41" t="s">
        <v>56</v>
      </c>
      <c r="I546" s="36" t="s">
        <v>24</v>
      </c>
      <c r="J546" s="46" t="s">
        <v>3</v>
      </c>
      <c r="K546" s="36" t="s">
        <v>1274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</row>
    <row r="547" spans="1:59" s="9" customFormat="1" ht="45" x14ac:dyDescent="0.25">
      <c r="B547" s="36">
        <v>553</v>
      </c>
      <c r="C547" s="36" t="s">
        <v>277</v>
      </c>
      <c r="D547" s="36" t="s">
        <v>278</v>
      </c>
      <c r="E547" s="36" t="s">
        <v>718</v>
      </c>
      <c r="F547" s="39">
        <v>6500</v>
      </c>
      <c r="G547" s="47" t="s">
        <v>1412</v>
      </c>
      <c r="H547" s="41" t="s">
        <v>56</v>
      </c>
      <c r="I547" s="36" t="s">
        <v>24</v>
      </c>
      <c r="J547" s="46" t="s">
        <v>3</v>
      </c>
      <c r="K547" s="36" t="s">
        <v>1275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</row>
    <row r="548" spans="1:59" s="9" customFormat="1" ht="45" x14ac:dyDescent="0.25">
      <c r="B548" s="36">
        <v>554</v>
      </c>
      <c r="C548" s="36" t="s">
        <v>318</v>
      </c>
      <c r="D548" s="36" t="s">
        <v>278</v>
      </c>
      <c r="E548" s="36" t="s">
        <v>1516</v>
      </c>
      <c r="F548" s="39">
        <v>1885</v>
      </c>
      <c r="G548" s="47" t="s">
        <v>1412</v>
      </c>
      <c r="H548" s="41" t="s">
        <v>56</v>
      </c>
      <c r="I548" s="36" t="s">
        <v>24</v>
      </c>
      <c r="J548" s="46" t="s">
        <v>3</v>
      </c>
      <c r="K548" s="36" t="s">
        <v>1276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</row>
    <row r="549" spans="1:59" s="9" customFormat="1" ht="45.75" x14ac:dyDescent="0.25">
      <c r="B549" s="36">
        <v>555</v>
      </c>
      <c r="C549" s="36" t="s">
        <v>918</v>
      </c>
      <c r="D549" s="36" t="s">
        <v>1332</v>
      </c>
      <c r="E549" s="36">
        <v>119</v>
      </c>
      <c r="F549" s="39">
        <v>119</v>
      </c>
      <c r="G549" s="47" t="s">
        <v>1413</v>
      </c>
      <c r="H549" s="41" t="s">
        <v>56</v>
      </c>
      <c r="I549" s="36" t="s">
        <v>24</v>
      </c>
      <c r="J549" s="46" t="s">
        <v>6</v>
      </c>
      <c r="K549" s="36" t="s">
        <v>1277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</row>
    <row r="550" spans="1:59" s="9" customFormat="1" ht="45" x14ac:dyDescent="0.25">
      <c r="B550" s="36">
        <v>556</v>
      </c>
      <c r="C550" s="36" t="s">
        <v>1151</v>
      </c>
      <c r="D550" s="36" t="s">
        <v>1156</v>
      </c>
      <c r="E550" s="36" t="s">
        <v>1512</v>
      </c>
      <c r="F550" s="39">
        <v>2265.6</v>
      </c>
      <c r="G550" s="47" t="s">
        <v>1413</v>
      </c>
      <c r="H550" s="41" t="s">
        <v>56</v>
      </c>
      <c r="I550" s="36" t="s">
        <v>24</v>
      </c>
      <c r="J550" s="46" t="s">
        <v>3</v>
      </c>
      <c r="K550" s="36" t="s">
        <v>1278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</row>
    <row r="551" spans="1:59" s="9" customFormat="1" ht="90" x14ac:dyDescent="0.25">
      <c r="B551" s="36">
        <v>557</v>
      </c>
      <c r="C551" s="36" t="s">
        <v>650</v>
      </c>
      <c r="D551" s="36" t="s">
        <v>510</v>
      </c>
      <c r="E551" s="36" t="s">
        <v>1511</v>
      </c>
      <c r="F551" s="39">
        <v>9136.36</v>
      </c>
      <c r="G551" s="47" t="s">
        <v>1414</v>
      </c>
      <c r="H551" s="41" t="s">
        <v>56</v>
      </c>
      <c r="I551" s="36" t="s">
        <v>24</v>
      </c>
      <c r="J551" s="51" t="s">
        <v>398</v>
      </c>
      <c r="K551" s="36" t="s">
        <v>1279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</row>
    <row r="552" spans="1:59" s="9" customFormat="1" ht="45" x14ac:dyDescent="0.25">
      <c r="B552" s="36">
        <v>558</v>
      </c>
      <c r="C552" s="36" t="s">
        <v>666</v>
      </c>
      <c r="D552" s="36" t="s">
        <v>1156</v>
      </c>
      <c r="E552" s="36">
        <v>204</v>
      </c>
      <c r="F552" s="39">
        <v>204</v>
      </c>
      <c r="G552" s="47" t="s">
        <v>1414</v>
      </c>
      <c r="H552" s="41" t="s">
        <v>56</v>
      </c>
      <c r="I552" s="36" t="s">
        <v>24</v>
      </c>
      <c r="J552" s="46" t="s">
        <v>3</v>
      </c>
      <c r="K552" s="36" t="s">
        <v>1280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</row>
    <row r="553" spans="1:59" s="9" customFormat="1" ht="45" x14ac:dyDescent="0.25">
      <c r="B553" s="36">
        <v>559</v>
      </c>
      <c r="C553" s="36" t="s">
        <v>666</v>
      </c>
      <c r="D553" s="36" t="s">
        <v>108</v>
      </c>
      <c r="E553" s="36">
        <v>58.3</v>
      </c>
      <c r="F553" s="39">
        <v>60</v>
      </c>
      <c r="G553" s="47" t="s">
        <v>1414</v>
      </c>
      <c r="H553" s="41" t="s">
        <v>56</v>
      </c>
      <c r="I553" s="36" t="s">
        <v>24</v>
      </c>
      <c r="J553" s="46" t="s">
        <v>3</v>
      </c>
      <c r="K553" s="36" t="s">
        <v>1281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</row>
    <row r="554" spans="1:59" s="9" customFormat="1" ht="45" x14ac:dyDescent="0.25">
      <c r="B554" s="36">
        <v>560</v>
      </c>
      <c r="C554" s="36" t="s">
        <v>1333</v>
      </c>
      <c r="D554" s="36" t="s">
        <v>108</v>
      </c>
      <c r="E554" s="36">
        <v>48.4</v>
      </c>
      <c r="F554" s="39">
        <v>50</v>
      </c>
      <c r="G554" s="47" t="s">
        <v>1414</v>
      </c>
      <c r="H554" s="41" t="s">
        <v>56</v>
      </c>
      <c r="I554" s="36" t="s">
        <v>24</v>
      </c>
      <c r="J554" s="46" t="s">
        <v>3</v>
      </c>
      <c r="K554" s="36" t="s">
        <v>1282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</row>
    <row r="555" spans="1:59" s="9" customFormat="1" ht="45" x14ac:dyDescent="0.25">
      <c r="B555" s="36">
        <v>561</v>
      </c>
      <c r="C555" s="36" t="s">
        <v>330</v>
      </c>
      <c r="D555" s="36" t="s">
        <v>232</v>
      </c>
      <c r="E555" s="36">
        <v>375</v>
      </c>
      <c r="F555" s="39">
        <v>375</v>
      </c>
      <c r="G555" s="47" t="s">
        <v>1414</v>
      </c>
      <c r="H555" s="41" t="s">
        <v>56</v>
      </c>
      <c r="I555" s="36" t="s">
        <v>24</v>
      </c>
      <c r="J555" s="46" t="s">
        <v>3</v>
      </c>
      <c r="K555" s="36" t="s">
        <v>1283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</row>
    <row r="556" spans="1:59" ht="45" x14ac:dyDescent="0.25">
      <c r="A556" s="1"/>
      <c r="B556" s="36">
        <v>562</v>
      </c>
      <c r="C556" s="36" t="s">
        <v>330</v>
      </c>
      <c r="D556" s="36" t="s">
        <v>110</v>
      </c>
      <c r="E556" s="36">
        <v>375</v>
      </c>
      <c r="F556" s="39">
        <v>375</v>
      </c>
      <c r="G556" s="47" t="s">
        <v>1414</v>
      </c>
      <c r="H556" s="41" t="s">
        <v>56</v>
      </c>
      <c r="I556" s="36" t="s">
        <v>24</v>
      </c>
      <c r="J556" s="46" t="s">
        <v>3</v>
      </c>
      <c r="K556" s="36" t="s">
        <v>1415</v>
      </c>
    </row>
    <row r="557" spans="1:59" s="9" customFormat="1" ht="45" x14ac:dyDescent="0.25">
      <c r="B557" s="36">
        <v>563</v>
      </c>
      <c r="C557" s="36" t="s">
        <v>1334</v>
      </c>
      <c r="D557" s="36" t="s">
        <v>108</v>
      </c>
      <c r="E557" s="36">
        <v>800</v>
      </c>
      <c r="F557" s="39">
        <v>800</v>
      </c>
      <c r="G557" s="47" t="s">
        <v>1414</v>
      </c>
      <c r="H557" s="41" t="s">
        <v>56</v>
      </c>
      <c r="I557" s="36" t="s">
        <v>24</v>
      </c>
      <c r="J557" s="46" t="s">
        <v>3</v>
      </c>
      <c r="K557" s="36" t="s">
        <v>1416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</row>
    <row r="558" spans="1:59" ht="45.75" x14ac:dyDescent="0.25">
      <c r="A558" s="1"/>
      <c r="B558" s="36" t="s">
        <v>1335</v>
      </c>
      <c r="C558" s="36" t="s">
        <v>767</v>
      </c>
      <c r="D558" s="36" t="s">
        <v>1336</v>
      </c>
      <c r="E558" s="36">
        <v>354</v>
      </c>
      <c r="F558" s="39">
        <v>354</v>
      </c>
      <c r="G558" s="47" t="s">
        <v>1414</v>
      </c>
      <c r="H558" s="41" t="s">
        <v>56</v>
      </c>
      <c r="I558" s="36" t="s">
        <v>24</v>
      </c>
      <c r="J558" s="46" t="s">
        <v>6</v>
      </c>
      <c r="K558" s="36" t="s">
        <v>1417</v>
      </c>
    </row>
    <row r="559" spans="1:59" s="9" customFormat="1" ht="45" x14ac:dyDescent="0.25">
      <c r="B559" s="36">
        <v>564</v>
      </c>
      <c r="C559" s="36" t="s">
        <v>1151</v>
      </c>
      <c r="D559" s="36" t="s">
        <v>1156</v>
      </c>
      <c r="E559" s="36" t="s">
        <v>1520</v>
      </c>
      <c r="F559" s="39">
        <v>3540</v>
      </c>
      <c r="G559" s="47" t="s">
        <v>1414</v>
      </c>
      <c r="H559" s="41" t="s">
        <v>56</v>
      </c>
      <c r="I559" s="36" t="s">
        <v>24</v>
      </c>
      <c r="J559" s="46" t="s">
        <v>3</v>
      </c>
      <c r="K559" s="36" t="s">
        <v>1284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</row>
    <row r="560" spans="1:59" s="9" customFormat="1" ht="45" x14ac:dyDescent="0.25">
      <c r="B560" s="36">
        <v>565</v>
      </c>
      <c r="C560" s="36" t="s">
        <v>924</v>
      </c>
      <c r="D560" s="36" t="s">
        <v>110</v>
      </c>
      <c r="E560" s="36" t="s">
        <v>1518</v>
      </c>
      <c r="F560" s="39">
        <v>1150</v>
      </c>
      <c r="G560" s="47" t="s">
        <v>1414</v>
      </c>
      <c r="H560" s="41" t="s">
        <v>56</v>
      </c>
      <c r="I560" s="36" t="s">
        <v>24</v>
      </c>
      <c r="J560" s="46" t="s">
        <v>3</v>
      </c>
      <c r="K560" s="36" t="s">
        <v>1285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</row>
    <row r="561" spans="2:59" s="9" customFormat="1" ht="45" x14ac:dyDescent="0.25">
      <c r="B561" s="36">
        <v>566</v>
      </c>
      <c r="C561" s="36" t="s">
        <v>897</v>
      </c>
      <c r="D561" s="36" t="s">
        <v>232</v>
      </c>
      <c r="E561" s="36">
        <v>670</v>
      </c>
      <c r="F561" s="39">
        <v>670</v>
      </c>
      <c r="G561" s="47" t="s">
        <v>1414</v>
      </c>
      <c r="H561" s="41" t="s">
        <v>56</v>
      </c>
      <c r="I561" s="36" t="s">
        <v>24</v>
      </c>
      <c r="J561" s="46" t="s">
        <v>3</v>
      </c>
      <c r="K561" s="36" t="s">
        <v>1286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</row>
    <row r="562" spans="2:59" s="9" customFormat="1" ht="45" x14ac:dyDescent="0.25">
      <c r="B562" s="36">
        <v>567</v>
      </c>
      <c r="C562" s="36" t="s">
        <v>862</v>
      </c>
      <c r="D562" s="36" t="s">
        <v>110</v>
      </c>
      <c r="E562" s="36" t="s">
        <v>1503</v>
      </c>
      <c r="F562" s="39">
        <v>2275</v>
      </c>
      <c r="G562" s="47" t="s">
        <v>1418</v>
      </c>
      <c r="H562" s="41" t="s">
        <v>56</v>
      </c>
      <c r="I562" s="36" t="s">
        <v>24</v>
      </c>
      <c r="J562" s="46" t="s">
        <v>3</v>
      </c>
      <c r="K562" s="36" t="s">
        <v>1287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</row>
    <row r="563" spans="2:59" s="9" customFormat="1" ht="45" x14ac:dyDescent="0.25">
      <c r="B563" s="36">
        <v>568</v>
      </c>
      <c r="C563" s="36" t="s">
        <v>1337</v>
      </c>
      <c r="D563" s="52" t="s">
        <v>232</v>
      </c>
      <c r="E563" s="36" t="s">
        <v>1523</v>
      </c>
      <c r="F563" s="39">
        <v>2360</v>
      </c>
      <c r="G563" s="47" t="s">
        <v>1418</v>
      </c>
      <c r="H563" s="41" t="s">
        <v>56</v>
      </c>
      <c r="I563" s="36" t="s">
        <v>24</v>
      </c>
      <c r="J563" s="46" t="s">
        <v>3</v>
      </c>
      <c r="K563" s="36" t="s">
        <v>1288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</row>
    <row r="564" spans="2:59" s="9" customFormat="1" ht="45" x14ac:dyDescent="0.25">
      <c r="B564" s="36">
        <v>569</v>
      </c>
      <c r="C564" s="36" t="s">
        <v>234</v>
      </c>
      <c r="D564" s="36" t="s">
        <v>1156</v>
      </c>
      <c r="E564" s="36">
        <v>330</v>
      </c>
      <c r="F564" s="39">
        <v>330</v>
      </c>
      <c r="G564" s="47" t="s">
        <v>1418</v>
      </c>
      <c r="H564" s="41" t="s">
        <v>56</v>
      </c>
      <c r="I564" s="36" t="s">
        <v>24</v>
      </c>
      <c r="J564" s="46" t="s">
        <v>3</v>
      </c>
      <c r="K564" s="36" t="s">
        <v>1289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</row>
    <row r="565" spans="2:59" s="9" customFormat="1" ht="45" x14ac:dyDescent="0.25">
      <c r="B565" s="36">
        <v>570</v>
      </c>
      <c r="C565" s="36" t="s">
        <v>235</v>
      </c>
      <c r="D565" s="36" t="s">
        <v>108</v>
      </c>
      <c r="E565" s="36">
        <v>294</v>
      </c>
      <c r="F565" s="39">
        <v>200</v>
      </c>
      <c r="G565" s="47" t="s">
        <v>1418</v>
      </c>
      <c r="H565" s="41" t="s">
        <v>56</v>
      </c>
      <c r="I565" s="36" t="s">
        <v>24</v>
      </c>
      <c r="J565" s="46" t="s">
        <v>3</v>
      </c>
      <c r="K565" s="36" t="s">
        <v>1290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</row>
    <row r="566" spans="2:59" s="9" customFormat="1" ht="45" x14ac:dyDescent="0.25">
      <c r="B566" s="36">
        <v>571</v>
      </c>
      <c r="C566" s="36" t="s">
        <v>326</v>
      </c>
      <c r="D566" s="36" t="s">
        <v>108</v>
      </c>
      <c r="E566" s="36">
        <v>55.4</v>
      </c>
      <c r="F566" s="39">
        <v>100</v>
      </c>
      <c r="G566" s="47" t="s">
        <v>1418</v>
      </c>
      <c r="H566" s="41" t="s">
        <v>56</v>
      </c>
      <c r="I566" s="36" t="s">
        <v>24</v>
      </c>
      <c r="J566" s="46" t="s">
        <v>3</v>
      </c>
      <c r="K566" s="36" t="s">
        <v>1291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</row>
    <row r="567" spans="2:59" s="9" customFormat="1" ht="45" x14ac:dyDescent="0.25">
      <c r="B567" s="36">
        <v>572</v>
      </c>
      <c r="C567" s="36" t="s">
        <v>1338</v>
      </c>
      <c r="D567" s="36" t="s">
        <v>1156</v>
      </c>
      <c r="E567" s="36">
        <v>100</v>
      </c>
      <c r="F567" s="39">
        <v>100</v>
      </c>
      <c r="G567" s="47" t="s">
        <v>1418</v>
      </c>
      <c r="H567" s="41" t="s">
        <v>56</v>
      </c>
      <c r="I567" s="36" t="s">
        <v>24</v>
      </c>
      <c r="J567" s="46" t="s">
        <v>3</v>
      </c>
      <c r="K567" s="36" t="s">
        <v>1292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</row>
    <row r="568" spans="2:59" s="9" customFormat="1" ht="45" x14ac:dyDescent="0.25">
      <c r="B568" s="36">
        <v>573</v>
      </c>
      <c r="C568" s="36" t="s">
        <v>317</v>
      </c>
      <c r="D568" s="36" t="s">
        <v>1156</v>
      </c>
      <c r="E568" s="36">
        <v>684.28</v>
      </c>
      <c r="F568" s="39">
        <v>684.28</v>
      </c>
      <c r="G568" s="47" t="s">
        <v>1418</v>
      </c>
      <c r="H568" s="41" t="s">
        <v>56</v>
      </c>
      <c r="I568" s="36" t="s">
        <v>24</v>
      </c>
      <c r="J568" s="46" t="s">
        <v>3</v>
      </c>
      <c r="K568" s="36" t="s">
        <v>1293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</row>
    <row r="569" spans="2:59" s="9" customFormat="1" ht="45" x14ac:dyDescent="0.25">
      <c r="B569" s="36">
        <v>574</v>
      </c>
      <c r="C569" s="36" t="s">
        <v>109</v>
      </c>
      <c r="D569" s="36" t="s">
        <v>232</v>
      </c>
      <c r="E569" s="36" t="s">
        <v>1529</v>
      </c>
      <c r="F569" s="39">
        <v>4000</v>
      </c>
      <c r="G569" s="47" t="s">
        <v>1418</v>
      </c>
      <c r="H569" s="41" t="s">
        <v>56</v>
      </c>
      <c r="I569" s="36" t="s">
        <v>24</v>
      </c>
      <c r="J569" s="46" t="s">
        <v>3</v>
      </c>
      <c r="K569" s="36" t="s">
        <v>1294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</row>
    <row r="570" spans="2:59" s="9" customFormat="1" ht="45" x14ac:dyDescent="0.25">
      <c r="B570" s="36">
        <v>575</v>
      </c>
      <c r="C570" s="36" t="s">
        <v>109</v>
      </c>
      <c r="D570" s="36" t="s">
        <v>110</v>
      </c>
      <c r="E570" s="36" t="s">
        <v>1530</v>
      </c>
      <c r="F570" s="39">
        <v>7000</v>
      </c>
      <c r="G570" s="47" t="s">
        <v>1418</v>
      </c>
      <c r="H570" s="41" t="s">
        <v>56</v>
      </c>
      <c r="I570" s="36" t="s">
        <v>24</v>
      </c>
      <c r="J570" s="46" t="s">
        <v>3</v>
      </c>
      <c r="K570" s="36" t="s">
        <v>1295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</row>
    <row r="571" spans="2:59" s="9" customFormat="1" ht="45.75" x14ac:dyDescent="0.25">
      <c r="B571" s="36">
        <v>577</v>
      </c>
      <c r="C571" s="36" t="s">
        <v>1339</v>
      </c>
      <c r="D571" s="36" t="s">
        <v>1340</v>
      </c>
      <c r="E571" s="36">
        <v>360</v>
      </c>
      <c r="F571" s="39">
        <v>360</v>
      </c>
      <c r="G571" s="47" t="s">
        <v>1418</v>
      </c>
      <c r="H571" s="41" t="s">
        <v>56</v>
      </c>
      <c r="I571" s="36" t="s">
        <v>24</v>
      </c>
      <c r="J571" s="46" t="s">
        <v>6</v>
      </c>
      <c r="K571" s="42" t="s">
        <v>1296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</row>
    <row r="572" spans="2:59" s="9" customFormat="1" ht="45.75" x14ac:dyDescent="0.25">
      <c r="B572" s="36">
        <v>578</v>
      </c>
      <c r="C572" s="36" t="s">
        <v>1341</v>
      </c>
      <c r="D572" s="36" t="s">
        <v>1342</v>
      </c>
      <c r="E572" s="36">
        <v>140</v>
      </c>
      <c r="F572" s="39">
        <v>140</v>
      </c>
      <c r="G572" s="47" t="s">
        <v>1419</v>
      </c>
      <c r="H572" s="41" t="s">
        <v>56</v>
      </c>
      <c r="I572" s="36" t="s">
        <v>24</v>
      </c>
      <c r="J572" s="46" t="s">
        <v>6</v>
      </c>
      <c r="K572" s="42" t="s">
        <v>1297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</row>
    <row r="573" spans="2:59" s="3" customFormat="1" ht="45" x14ac:dyDescent="0.25">
      <c r="B573" s="36">
        <v>579</v>
      </c>
      <c r="C573" s="52" t="s">
        <v>1151</v>
      </c>
      <c r="D573" s="52" t="s">
        <v>93</v>
      </c>
      <c r="E573" s="36">
        <v>177</v>
      </c>
      <c r="F573" s="61">
        <v>177</v>
      </c>
      <c r="G573" s="47" t="s">
        <v>1419</v>
      </c>
      <c r="H573" s="41" t="s">
        <v>56</v>
      </c>
      <c r="I573" s="36" t="s">
        <v>24</v>
      </c>
      <c r="J573" s="46" t="s">
        <v>3</v>
      </c>
      <c r="K573" s="42" t="s">
        <v>1298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</row>
    <row r="574" spans="2:59" s="9" customFormat="1" ht="45" x14ac:dyDescent="0.25">
      <c r="B574" s="36">
        <v>580</v>
      </c>
      <c r="C574" s="36" t="s">
        <v>235</v>
      </c>
      <c r="D574" s="36" t="s">
        <v>108</v>
      </c>
      <c r="E574" s="36">
        <v>200</v>
      </c>
      <c r="F574" s="39">
        <v>200</v>
      </c>
      <c r="G574" s="47" t="s">
        <v>1420</v>
      </c>
      <c r="H574" s="41" t="s">
        <v>56</v>
      </c>
      <c r="I574" s="36" t="s">
        <v>24</v>
      </c>
      <c r="J574" s="46" t="s">
        <v>3</v>
      </c>
      <c r="K574" s="42" t="s">
        <v>1299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</row>
    <row r="575" spans="2:59" s="9" customFormat="1" ht="45" x14ac:dyDescent="0.25">
      <c r="B575" s="36">
        <v>581</v>
      </c>
      <c r="C575" s="36" t="s">
        <v>1343</v>
      </c>
      <c r="D575" s="36" t="s">
        <v>232</v>
      </c>
      <c r="E575" s="36" t="s">
        <v>1517</v>
      </c>
      <c r="F575" s="39">
        <v>2062.5</v>
      </c>
      <c r="G575" s="47" t="s">
        <v>1420</v>
      </c>
      <c r="H575" s="41" t="s">
        <v>56</v>
      </c>
      <c r="I575" s="36" t="s">
        <v>24</v>
      </c>
      <c r="J575" s="46" t="s">
        <v>3</v>
      </c>
      <c r="K575" s="42" t="s">
        <v>1300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</row>
    <row r="576" spans="2:59" s="9" customFormat="1" ht="45" x14ac:dyDescent="0.25">
      <c r="B576" s="36">
        <v>582</v>
      </c>
      <c r="C576" s="36" t="s">
        <v>109</v>
      </c>
      <c r="D576" s="36" t="s">
        <v>110</v>
      </c>
      <c r="E576" s="36" t="s">
        <v>602</v>
      </c>
      <c r="F576" s="39">
        <v>1400</v>
      </c>
      <c r="G576" s="47" t="s">
        <v>1420</v>
      </c>
      <c r="H576" s="41" t="s">
        <v>56</v>
      </c>
      <c r="I576" s="36" t="s">
        <v>24</v>
      </c>
      <c r="J576" s="46" t="s">
        <v>3</v>
      </c>
      <c r="K576" s="42" t="s">
        <v>1301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</row>
    <row r="577" spans="2:59" s="9" customFormat="1" ht="45" x14ac:dyDescent="0.25">
      <c r="B577" s="36">
        <v>583</v>
      </c>
      <c r="C577" s="36" t="s">
        <v>893</v>
      </c>
      <c r="D577" s="36" t="s">
        <v>108</v>
      </c>
      <c r="E577" s="36">
        <v>57.82</v>
      </c>
      <c r="F577" s="39">
        <v>60</v>
      </c>
      <c r="G577" s="47" t="s">
        <v>1420</v>
      </c>
      <c r="H577" s="41" t="s">
        <v>56</v>
      </c>
      <c r="I577" s="36" t="s">
        <v>24</v>
      </c>
      <c r="J577" s="46" t="s">
        <v>3</v>
      </c>
      <c r="K577" s="42" t="s">
        <v>1302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</row>
    <row r="578" spans="2:59" s="9" customFormat="1" ht="45" x14ac:dyDescent="0.25">
      <c r="B578" s="36">
        <v>584</v>
      </c>
      <c r="C578" s="36" t="s">
        <v>318</v>
      </c>
      <c r="D578" s="36" t="s">
        <v>278</v>
      </c>
      <c r="E578" s="36">
        <v>930</v>
      </c>
      <c r="F578" s="39">
        <v>930</v>
      </c>
      <c r="G578" s="47" t="s">
        <v>1420</v>
      </c>
      <c r="H578" s="41" t="s">
        <v>56</v>
      </c>
      <c r="I578" s="36" t="s">
        <v>24</v>
      </c>
      <c r="J578" s="46" t="s">
        <v>3</v>
      </c>
      <c r="K578" s="42" t="s">
        <v>1303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</row>
    <row r="579" spans="2:59" s="9" customFormat="1" ht="45" x14ac:dyDescent="0.25">
      <c r="B579" s="36">
        <v>585</v>
      </c>
      <c r="C579" s="36" t="s">
        <v>277</v>
      </c>
      <c r="D579" s="36" t="s">
        <v>278</v>
      </c>
      <c r="E579" s="36" t="s">
        <v>1538</v>
      </c>
      <c r="F579" s="39">
        <v>5037</v>
      </c>
      <c r="G579" s="47" t="s">
        <v>1420</v>
      </c>
      <c r="H579" s="41" t="s">
        <v>56</v>
      </c>
      <c r="I579" s="36" t="s">
        <v>24</v>
      </c>
      <c r="J579" s="46" t="s">
        <v>3</v>
      </c>
      <c r="K579" s="42" t="s">
        <v>1421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</row>
    <row r="580" spans="2:59" s="9" customFormat="1" ht="45.75" x14ac:dyDescent="0.25">
      <c r="B580" s="36">
        <v>586</v>
      </c>
      <c r="C580" s="36" t="s">
        <v>1344</v>
      </c>
      <c r="D580" s="36" t="s">
        <v>1345</v>
      </c>
      <c r="E580" s="36" t="s">
        <v>1773</v>
      </c>
      <c r="F580" s="39">
        <v>1199</v>
      </c>
      <c r="G580" s="47" t="s">
        <v>1422</v>
      </c>
      <c r="H580" s="41" t="s">
        <v>56</v>
      </c>
      <c r="I580" s="36" t="s">
        <v>24</v>
      </c>
      <c r="J580" s="46" t="s">
        <v>6</v>
      </c>
      <c r="K580" s="42" t="s">
        <v>1423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</row>
    <row r="581" spans="2:59" s="9" customFormat="1" ht="45" x14ac:dyDescent="0.25">
      <c r="B581" s="36">
        <v>587</v>
      </c>
      <c r="C581" s="36" t="s">
        <v>189</v>
      </c>
      <c r="D581" s="36" t="s">
        <v>1156</v>
      </c>
      <c r="E581" s="36">
        <v>196</v>
      </c>
      <c r="F581" s="39">
        <v>196</v>
      </c>
      <c r="G581" s="47" t="s">
        <v>1424</v>
      </c>
      <c r="H581" s="41" t="s">
        <v>56</v>
      </c>
      <c r="I581" s="36" t="s">
        <v>24</v>
      </c>
      <c r="J581" s="46" t="s">
        <v>3</v>
      </c>
      <c r="K581" s="42" t="s">
        <v>1425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</row>
    <row r="582" spans="2:59" s="9" customFormat="1" ht="45" x14ac:dyDescent="0.25">
      <c r="B582" s="36">
        <v>589</v>
      </c>
      <c r="C582" s="36" t="s">
        <v>1346</v>
      </c>
      <c r="D582" s="36" t="s">
        <v>1156</v>
      </c>
      <c r="E582" s="36">
        <v>140</v>
      </c>
      <c r="F582" s="39">
        <v>140</v>
      </c>
      <c r="G582" s="47" t="s">
        <v>1424</v>
      </c>
      <c r="H582" s="41" t="s">
        <v>56</v>
      </c>
      <c r="I582" s="36" t="s">
        <v>24</v>
      </c>
      <c r="J582" s="46" t="s">
        <v>3</v>
      </c>
      <c r="K582" s="42" t="s">
        <v>1426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</row>
    <row r="583" spans="2:59" s="9" customFormat="1" ht="45.75" x14ac:dyDescent="0.25">
      <c r="B583" s="36">
        <v>590</v>
      </c>
      <c r="C583" s="36" t="s">
        <v>1347</v>
      </c>
      <c r="D583" s="36" t="s">
        <v>1348</v>
      </c>
      <c r="E583" s="36">
        <v>732.6</v>
      </c>
      <c r="F583" s="39">
        <v>732.6</v>
      </c>
      <c r="G583" s="47" t="s">
        <v>1424</v>
      </c>
      <c r="H583" s="41" t="s">
        <v>56</v>
      </c>
      <c r="I583" s="36" t="s">
        <v>24</v>
      </c>
      <c r="J583" s="46" t="s">
        <v>6</v>
      </c>
      <c r="K583" s="42" t="s">
        <v>1427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</row>
    <row r="584" spans="2:59" s="9" customFormat="1" ht="45" x14ac:dyDescent="0.25">
      <c r="B584" s="36">
        <v>591</v>
      </c>
      <c r="C584" s="36" t="s">
        <v>1349</v>
      </c>
      <c r="D584" s="36" t="s">
        <v>278</v>
      </c>
      <c r="E584" s="36" t="s">
        <v>1537</v>
      </c>
      <c r="F584" s="39" t="s">
        <v>1537</v>
      </c>
      <c r="G584" s="47" t="s">
        <v>1424</v>
      </c>
      <c r="H584" s="41" t="s">
        <v>56</v>
      </c>
      <c r="I584" s="36" t="s">
        <v>24</v>
      </c>
      <c r="J584" s="46" t="s">
        <v>3</v>
      </c>
      <c r="K584" s="42" t="s">
        <v>1428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</row>
    <row r="585" spans="2:59" s="9" customFormat="1" ht="45" x14ac:dyDescent="0.25">
      <c r="B585" s="36">
        <v>592</v>
      </c>
      <c r="C585" s="64" t="s">
        <v>209</v>
      </c>
      <c r="D585" s="36" t="s">
        <v>110</v>
      </c>
      <c r="E585" s="36" t="s">
        <v>1527</v>
      </c>
      <c r="F585" s="39">
        <v>1650</v>
      </c>
      <c r="G585" s="47" t="s">
        <v>1429</v>
      </c>
      <c r="H585" s="41" t="s">
        <v>56</v>
      </c>
      <c r="I585" s="36" t="s">
        <v>24</v>
      </c>
      <c r="J585" s="46" t="s">
        <v>3</v>
      </c>
      <c r="K585" s="42" t="s">
        <v>1430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</row>
    <row r="586" spans="2:59" s="9" customFormat="1" ht="45" x14ac:dyDescent="0.25">
      <c r="B586" s="36">
        <v>593</v>
      </c>
      <c r="C586" s="36" t="s">
        <v>861</v>
      </c>
      <c r="D586" s="36" t="s">
        <v>232</v>
      </c>
      <c r="E586" s="36" t="s">
        <v>1528</v>
      </c>
      <c r="F586" s="39">
        <v>1412.5</v>
      </c>
      <c r="G586" s="47" t="s">
        <v>1429</v>
      </c>
      <c r="H586" s="41" t="s">
        <v>56</v>
      </c>
      <c r="I586" s="36" t="s">
        <v>24</v>
      </c>
      <c r="J586" s="46" t="s">
        <v>3</v>
      </c>
      <c r="K586" s="42" t="s">
        <v>1431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</row>
    <row r="587" spans="2:59" s="9" customFormat="1" ht="45" x14ac:dyDescent="0.25">
      <c r="B587" s="36">
        <v>594</v>
      </c>
      <c r="C587" s="36" t="s">
        <v>326</v>
      </c>
      <c r="D587" s="36" t="s">
        <v>108</v>
      </c>
      <c r="E587" s="36">
        <v>293.10000000000002</v>
      </c>
      <c r="F587" s="39">
        <v>420</v>
      </c>
      <c r="G587" s="47" t="s">
        <v>1429</v>
      </c>
      <c r="H587" s="41" t="s">
        <v>56</v>
      </c>
      <c r="I587" s="36" t="s">
        <v>24</v>
      </c>
      <c r="J587" s="46" t="s">
        <v>3</v>
      </c>
      <c r="K587" s="42" t="s">
        <v>1432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</row>
    <row r="588" spans="2:59" s="9" customFormat="1" ht="45" x14ac:dyDescent="0.25">
      <c r="B588" s="36">
        <v>595</v>
      </c>
      <c r="C588" s="36" t="s">
        <v>1350</v>
      </c>
      <c r="D588" s="36" t="s">
        <v>108</v>
      </c>
      <c r="E588" s="36">
        <v>700</v>
      </c>
      <c r="F588" s="39">
        <v>700</v>
      </c>
      <c r="G588" s="47" t="s">
        <v>1429</v>
      </c>
      <c r="H588" s="41" t="s">
        <v>56</v>
      </c>
      <c r="I588" s="36" t="s">
        <v>24</v>
      </c>
      <c r="J588" s="46" t="s">
        <v>3</v>
      </c>
      <c r="K588" s="42" t="s">
        <v>1433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</row>
    <row r="589" spans="2:59" s="9" customFormat="1" ht="45" x14ac:dyDescent="0.25">
      <c r="B589" s="36">
        <v>596</v>
      </c>
      <c r="C589" s="42" t="s">
        <v>237</v>
      </c>
      <c r="D589" s="36" t="s">
        <v>108</v>
      </c>
      <c r="E589" s="36">
        <v>102.96</v>
      </c>
      <c r="F589" s="39">
        <v>3000</v>
      </c>
      <c r="G589" s="47" t="s">
        <v>1429</v>
      </c>
      <c r="H589" s="41" t="s">
        <v>56</v>
      </c>
      <c r="I589" s="36" t="s">
        <v>24</v>
      </c>
      <c r="J589" s="46" t="s">
        <v>3</v>
      </c>
      <c r="K589" s="42" t="s">
        <v>1434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</row>
    <row r="590" spans="2:59" s="9" customFormat="1" ht="45" x14ac:dyDescent="0.25">
      <c r="B590" s="36">
        <v>597</v>
      </c>
      <c r="C590" s="42" t="s">
        <v>1351</v>
      </c>
      <c r="D590" s="36" t="s">
        <v>1156</v>
      </c>
      <c r="E590" s="36">
        <v>70</v>
      </c>
      <c r="F590" s="39">
        <v>70</v>
      </c>
      <c r="G590" s="47" t="s">
        <v>1429</v>
      </c>
      <c r="H590" s="41" t="s">
        <v>56</v>
      </c>
      <c r="I590" s="36" t="s">
        <v>24</v>
      </c>
      <c r="J590" s="46" t="s">
        <v>3</v>
      </c>
      <c r="K590" s="42" t="s">
        <v>1435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</row>
    <row r="591" spans="2:59" s="9" customFormat="1" ht="45" x14ac:dyDescent="0.25">
      <c r="B591" s="36">
        <v>598</v>
      </c>
      <c r="C591" s="42" t="s">
        <v>134</v>
      </c>
      <c r="D591" s="36" t="s">
        <v>1156</v>
      </c>
      <c r="E591" s="36">
        <v>225</v>
      </c>
      <c r="F591" s="39">
        <v>285</v>
      </c>
      <c r="G591" s="47" t="s">
        <v>1429</v>
      </c>
      <c r="H591" s="41" t="s">
        <v>56</v>
      </c>
      <c r="I591" s="36" t="s">
        <v>24</v>
      </c>
      <c r="J591" s="46" t="s">
        <v>3</v>
      </c>
      <c r="K591" s="42" t="s">
        <v>1436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</row>
    <row r="592" spans="2:59" s="9" customFormat="1" ht="45" x14ac:dyDescent="0.25">
      <c r="B592" s="36">
        <v>599</v>
      </c>
      <c r="C592" s="36" t="s">
        <v>277</v>
      </c>
      <c r="D592" s="36" t="s">
        <v>278</v>
      </c>
      <c r="E592" s="36" t="s">
        <v>1550</v>
      </c>
      <c r="F592" s="39">
        <v>1268.5999999999999</v>
      </c>
      <c r="G592" s="47" t="s">
        <v>1429</v>
      </c>
      <c r="H592" s="41" t="s">
        <v>56</v>
      </c>
      <c r="I592" s="36" t="s">
        <v>24</v>
      </c>
      <c r="J592" s="46" t="s">
        <v>3</v>
      </c>
      <c r="K592" s="42" t="s">
        <v>1437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</row>
    <row r="593" spans="1:59" s="9" customFormat="1" ht="45" x14ac:dyDescent="0.25">
      <c r="B593" s="36">
        <v>600</v>
      </c>
      <c r="C593" s="36" t="s">
        <v>265</v>
      </c>
      <c r="D593" s="36" t="s">
        <v>110</v>
      </c>
      <c r="E593" s="36" t="s">
        <v>1551</v>
      </c>
      <c r="F593" s="39">
        <v>1980</v>
      </c>
      <c r="G593" s="47" t="s">
        <v>1429</v>
      </c>
      <c r="H593" s="41" t="s">
        <v>56</v>
      </c>
      <c r="I593" s="36" t="s">
        <v>24</v>
      </c>
      <c r="J593" s="46" t="s">
        <v>3</v>
      </c>
      <c r="K593" s="42" t="s">
        <v>1438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</row>
    <row r="594" spans="1:59" s="9" customFormat="1" ht="45" x14ac:dyDescent="0.25">
      <c r="B594" s="36">
        <v>601</v>
      </c>
      <c r="C594" s="36" t="s">
        <v>1352</v>
      </c>
      <c r="D594" s="36" t="s">
        <v>232</v>
      </c>
      <c r="E594" s="36" t="s">
        <v>1531</v>
      </c>
      <c r="F594" s="39">
        <v>1687.5</v>
      </c>
      <c r="G594" s="47" t="s">
        <v>1429</v>
      </c>
      <c r="H594" s="41" t="s">
        <v>56</v>
      </c>
      <c r="I594" s="36" t="s">
        <v>24</v>
      </c>
      <c r="J594" s="46" t="s">
        <v>3</v>
      </c>
      <c r="K594" s="42" t="s">
        <v>1439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</row>
    <row r="595" spans="1:59" s="9" customFormat="1" ht="45" x14ac:dyDescent="0.25">
      <c r="B595" s="36">
        <v>602</v>
      </c>
      <c r="C595" s="36" t="s">
        <v>120</v>
      </c>
      <c r="D595" s="36" t="s">
        <v>1156</v>
      </c>
      <c r="E595" s="36" t="s">
        <v>1552</v>
      </c>
      <c r="F595" s="39">
        <v>2891</v>
      </c>
      <c r="G595" s="47" t="s">
        <v>1429</v>
      </c>
      <c r="H595" s="41" t="s">
        <v>56</v>
      </c>
      <c r="I595" s="36" t="s">
        <v>24</v>
      </c>
      <c r="J595" s="46" t="s">
        <v>3</v>
      </c>
      <c r="K595" s="42" t="s">
        <v>1440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</row>
    <row r="596" spans="1:59" s="9" customFormat="1" ht="45" x14ac:dyDescent="0.25">
      <c r="B596" s="36">
        <v>603</v>
      </c>
      <c r="C596" s="36" t="s">
        <v>896</v>
      </c>
      <c r="D596" s="36" t="s">
        <v>108</v>
      </c>
      <c r="E596" s="36" t="s">
        <v>1524</v>
      </c>
      <c r="F596" s="39">
        <v>1350</v>
      </c>
      <c r="G596" s="47" t="s">
        <v>1441</v>
      </c>
      <c r="H596" s="41" t="s">
        <v>56</v>
      </c>
      <c r="I596" s="36" t="s">
        <v>24</v>
      </c>
      <c r="J596" s="46" t="s">
        <v>3</v>
      </c>
      <c r="K596" s="42" t="s">
        <v>1442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</row>
    <row r="597" spans="1:59" ht="45" x14ac:dyDescent="0.25">
      <c r="A597" s="1"/>
      <c r="B597" s="36">
        <v>604</v>
      </c>
      <c r="C597" s="36" t="s">
        <v>1353</v>
      </c>
      <c r="D597" s="36" t="s">
        <v>1156</v>
      </c>
      <c r="E597" s="36">
        <v>140</v>
      </c>
      <c r="F597" s="39">
        <v>140</v>
      </c>
      <c r="G597" s="47" t="s">
        <v>1443</v>
      </c>
      <c r="H597" s="41" t="s">
        <v>56</v>
      </c>
      <c r="I597" s="36" t="s">
        <v>24</v>
      </c>
      <c r="J597" s="46" t="s">
        <v>3</v>
      </c>
      <c r="K597" s="42" t="s">
        <v>1444</v>
      </c>
    </row>
    <row r="598" spans="1:59" s="9" customFormat="1" ht="45" x14ac:dyDescent="0.25">
      <c r="B598" s="36">
        <v>605</v>
      </c>
      <c r="C598" s="36" t="s">
        <v>1354</v>
      </c>
      <c r="D598" s="36" t="s">
        <v>108</v>
      </c>
      <c r="E598" s="36">
        <v>50</v>
      </c>
      <c r="F598" s="39">
        <v>50</v>
      </c>
      <c r="G598" s="47" t="s">
        <v>1443</v>
      </c>
      <c r="H598" s="41" t="s">
        <v>56</v>
      </c>
      <c r="I598" s="36" t="s">
        <v>24</v>
      </c>
      <c r="J598" s="46" t="s">
        <v>3</v>
      </c>
      <c r="K598" s="42" t="s">
        <v>1445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</row>
    <row r="599" spans="1:59" s="9" customFormat="1" ht="45" x14ac:dyDescent="0.25">
      <c r="B599" s="36">
        <v>607</v>
      </c>
      <c r="C599" s="36" t="s">
        <v>1355</v>
      </c>
      <c r="D599" s="36" t="s">
        <v>108</v>
      </c>
      <c r="E599" s="36">
        <v>50</v>
      </c>
      <c r="F599" s="39">
        <v>50</v>
      </c>
      <c r="G599" s="47" t="s">
        <v>1443</v>
      </c>
      <c r="H599" s="41" t="s">
        <v>56</v>
      </c>
      <c r="I599" s="36" t="s">
        <v>24</v>
      </c>
      <c r="J599" s="46" t="s">
        <v>3</v>
      </c>
      <c r="K599" s="42" t="s">
        <v>1446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</row>
    <row r="600" spans="1:59" s="9" customFormat="1" ht="45" x14ac:dyDescent="0.25">
      <c r="B600" s="36">
        <v>608</v>
      </c>
      <c r="C600" s="36" t="s">
        <v>120</v>
      </c>
      <c r="D600" s="36" t="s">
        <v>1156</v>
      </c>
      <c r="E600" s="36">
        <v>578.20000000000005</v>
      </c>
      <c r="F600" s="39">
        <v>578.20000000000005</v>
      </c>
      <c r="G600" s="47" t="s">
        <v>1443</v>
      </c>
      <c r="H600" s="41" t="s">
        <v>56</v>
      </c>
      <c r="I600" s="36" t="s">
        <v>24</v>
      </c>
      <c r="J600" s="46" t="s">
        <v>3</v>
      </c>
      <c r="K600" s="42" t="s">
        <v>1447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</row>
    <row r="601" spans="1:59" s="9" customFormat="1" ht="22.5" x14ac:dyDescent="0.25">
      <c r="B601" s="36">
        <v>609</v>
      </c>
      <c r="C601" s="36" t="s">
        <v>1356</v>
      </c>
      <c r="D601" s="36" t="s">
        <v>1357</v>
      </c>
      <c r="E601" s="36">
        <v>2400</v>
      </c>
      <c r="F601" s="39">
        <v>2400</v>
      </c>
      <c r="G601" s="47" t="s">
        <v>1443</v>
      </c>
      <c r="H601" s="41" t="s">
        <v>56</v>
      </c>
      <c r="I601" s="36" t="s">
        <v>9</v>
      </c>
      <c r="J601" s="46" t="s">
        <v>1448</v>
      </c>
      <c r="K601" s="4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</row>
    <row r="602" spans="1:59" s="9" customFormat="1" ht="45" x14ac:dyDescent="0.25">
      <c r="B602" s="36">
        <v>612</v>
      </c>
      <c r="C602" s="36" t="s">
        <v>470</v>
      </c>
      <c r="D602" s="36" t="s">
        <v>1156</v>
      </c>
      <c r="E602" s="36" t="s">
        <v>1569</v>
      </c>
      <c r="F602" s="39">
        <v>1690.92</v>
      </c>
      <c r="G602" s="47" t="s">
        <v>1449</v>
      </c>
      <c r="H602" s="41" t="s">
        <v>56</v>
      </c>
      <c r="I602" s="36" t="s">
        <v>24</v>
      </c>
      <c r="J602" s="46" t="s">
        <v>3</v>
      </c>
      <c r="K602" s="42" t="s">
        <v>1450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</row>
    <row r="603" spans="1:59" s="9" customFormat="1" ht="45" x14ac:dyDescent="0.25">
      <c r="B603" s="36">
        <v>613</v>
      </c>
      <c r="C603" s="36" t="s">
        <v>897</v>
      </c>
      <c r="D603" s="36" t="s">
        <v>232</v>
      </c>
      <c r="E603" s="36" t="s">
        <v>1536</v>
      </c>
      <c r="F603" s="39">
        <v>1560</v>
      </c>
      <c r="G603" s="47" t="s">
        <v>1449</v>
      </c>
      <c r="H603" s="41" t="s">
        <v>56</v>
      </c>
      <c r="I603" s="36" t="s">
        <v>24</v>
      </c>
      <c r="J603" s="46" t="s">
        <v>3</v>
      </c>
      <c r="K603" s="42" t="s">
        <v>1451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</row>
    <row r="604" spans="1:59" s="9" customFormat="1" ht="45" x14ac:dyDescent="0.25">
      <c r="B604" s="36">
        <v>615</v>
      </c>
      <c r="C604" s="36" t="s">
        <v>924</v>
      </c>
      <c r="D604" s="36" t="s">
        <v>110</v>
      </c>
      <c r="E604" s="36" t="s">
        <v>1539</v>
      </c>
      <c r="F604" s="39">
        <v>1390</v>
      </c>
      <c r="G604" s="47" t="s">
        <v>1449</v>
      </c>
      <c r="H604" s="41" t="s">
        <v>56</v>
      </c>
      <c r="I604" s="36" t="s">
        <v>24</v>
      </c>
      <c r="J604" s="46" t="s">
        <v>3</v>
      </c>
      <c r="K604" s="42" t="s">
        <v>1452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</row>
    <row r="605" spans="1:59" s="9" customFormat="1" ht="45" x14ac:dyDescent="0.25">
      <c r="B605" s="36">
        <v>616</v>
      </c>
      <c r="C605" s="36" t="s">
        <v>1358</v>
      </c>
      <c r="D605" s="36" t="s">
        <v>1156</v>
      </c>
      <c r="E605" s="36">
        <v>280</v>
      </c>
      <c r="F605" s="39">
        <v>280</v>
      </c>
      <c r="G605" s="47" t="s">
        <v>1449</v>
      </c>
      <c r="H605" s="41" t="s">
        <v>56</v>
      </c>
      <c r="I605" s="36" t="s">
        <v>24</v>
      </c>
      <c r="J605" s="46" t="s">
        <v>3</v>
      </c>
      <c r="K605" s="42" t="s">
        <v>1453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</row>
    <row r="606" spans="1:59" s="9" customFormat="1" ht="45" x14ac:dyDescent="0.25">
      <c r="B606" s="36">
        <v>617</v>
      </c>
      <c r="C606" s="36" t="s">
        <v>932</v>
      </c>
      <c r="D606" s="36" t="s">
        <v>108</v>
      </c>
      <c r="E606" s="36">
        <v>95</v>
      </c>
      <c r="F606" s="39">
        <v>100</v>
      </c>
      <c r="G606" s="47" t="s">
        <v>1449</v>
      </c>
      <c r="H606" s="41" t="s">
        <v>56</v>
      </c>
      <c r="I606" s="36" t="s">
        <v>24</v>
      </c>
      <c r="J606" s="46" t="s">
        <v>3</v>
      </c>
      <c r="K606" s="42" t="s">
        <v>1454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</row>
    <row r="607" spans="1:59" s="9" customFormat="1" ht="45" x14ac:dyDescent="0.25">
      <c r="B607" s="36">
        <v>618</v>
      </c>
      <c r="C607" s="36" t="s">
        <v>894</v>
      </c>
      <c r="D607" s="36" t="s">
        <v>108</v>
      </c>
      <c r="E607" s="36">
        <v>46.02</v>
      </c>
      <c r="F607" s="39">
        <v>50</v>
      </c>
      <c r="G607" s="47" t="s">
        <v>1449</v>
      </c>
      <c r="H607" s="41" t="s">
        <v>56</v>
      </c>
      <c r="I607" s="36" t="s">
        <v>24</v>
      </c>
      <c r="J607" s="46" t="s">
        <v>3</v>
      </c>
      <c r="K607" s="42" t="s">
        <v>1455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</row>
    <row r="608" spans="1:59" s="9" customFormat="1" ht="45" x14ac:dyDescent="0.25">
      <c r="B608" s="36">
        <v>619</v>
      </c>
      <c r="C608" s="36" t="s">
        <v>1359</v>
      </c>
      <c r="D608" s="36" t="s">
        <v>108</v>
      </c>
      <c r="E608" s="36">
        <v>100</v>
      </c>
      <c r="F608" s="39">
        <v>100</v>
      </c>
      <c r="G608" s="47" t="s">
        <v>1449</v>
      </c>
      <c r="H608" s="41" t="s">
        <v>56</v>
      </c>
      <c r="I608" s="36" t="s">
        <v>24</v>
      </c>
      <c r="J608" s="46" t="s">
        <v>3</v>
      </c>
      <c r="K608" s="42" t="s">
        <v>1456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</row>
    <row r="609" spans="2:59" s="9" customFormat="1" ht="45" x14ac:dyDescent="0.25">
      <c r="B609" s="36">
        <v>620</v>
      </c>
      <c r="C609" s="36" t="s">
        <v>1360</v>
      </c>
      <c r="D609" s="36" t="s">
        <v>1156</v>
      </c>
      <c r="E609" s="36" t="s">
        <v>1540</v>
      </c>
      <c r="F609" s="39">
        <v>1320</v>
      </c>
      <c r="G609" s="47" t="s">
        <v>1449</v>
      </c>
      <c r="H609" s="41" t="s">
        <v>56</v>
      </c>
      <c r="I609" s="36" t="s">
        <v>24</v>
      </c>
      <c r="J609" s="46" t="s">
        <v>3</v>
      </c>
      <c r="K609" s="42" t="s">
        <v>1457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</row>
    <row r="610" spans="2:59" s="9" customFormat="1" ht="45" x14ac:dyDescent="0.25">
      <c r="B610" s="36">
        <v>621</v>
      </c>
      <c r="C610" s="36" t="s">
        <v>1360</v>
      </c>
      <c r="D610" s="36" t="s">
        <v>108</v>
      </c>
      <c r="E610" s="36">
        <v>260.14999999999998</v>
      </c>
      <c r="F610" s="39">
        <v>600</v>
      </c>
      <c r="G610" s="47" t="s">
        <v>1449</v>
      </c>
      <c r="H610" s="41" t="s">
        <v>56</v>
      </c>
      <c r="I610" s="36" t="s">
        <v>24</v>
      </c>
      <c r="J610" s="46" t="s">
        <v>3</v>
      </c>
      <c r="K610" s="42" t="s">
        <v>1762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</row>
    <row r="611" spans="2:59" s="9" customFormat="1" ht="45" x14ac:dyDescent="0.25">
      <c r="B611" s="36">
        <v>622</v>
      </c>
      <c r="C611" s="36" t="s">
        <v>1361</v>
      </c>
      <c r="D611" s="36" t="s">
        <v>108</v>
      </c>
      <c r="E611" s="36">
        <v>120</v>
      </c>
      <c r="F611" s="39">
        <v>120</v>
      </c>
      <c r="G611" s="47" t="s">
        <v>1449</v>
      </c>
      <c r="H611" s="41" t="s">
        <v>56</v>
      </c>
      <c r="I611" s="36" t="s">
        <v>24</v>
      </c>
      <c r="J611" s="46" t="s">
        <v>3</v>
      </c>
      <c r="K611" s="42" t="s">
        <v>1458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</row>
    <row r="612" spans="2:59" s="9" customFormat="1" ht="45" x14ac:dyDescent="0.25">
      <c r="B612" s="36">
        <v>623</v>
      </c>
      <c r="C612" s="36" t="s">
        <v>1362</v>
      </c>
      <c r="D612" s="36" t="s">
        <v>108</v>
      </c>
      <c r="E612" s="36">
        <v>301</v>
      </c>
      <c r="F612" s="39">
        <v>480</v>
      </c>
      <c r="G612" s="47" t="s">
        <v>1449</v>
      </c>
      <c r="H612" s="41" t="s">
        <v>56</v>
      </c>
      <c r="I612" s="36" t="s">
        <v>24</v>
      </c>
      <c r="J612" s="46" t="s">
        <v>3</v>
      </c>
      <c r="K612" s="42" t="s">
        <v>1459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</row>
    <row r="613" spans="2:59" s="9" customFormat="1" ht="45" x14ac:dyDescent="0.25">
      <c r="B613" s="36">
        <v>624</v>
      </c>
      <c r="C613" s="36" t="s">
        <v>1363</v>
      </c>
      <c r="D613" s="36" t="s">
        <v>232</v>
      </c>
      <c r="E613" s="36" t="s">
        <v>1543</v>
      </c>
      <c r="F613" s="39">
        <v>2738.05</v>
      </c>
      <c r="G613" s="47" t="s">
        <v>1460</v>
      </c>
      <c r="H613" s="41" t="s">
        <v>56</v>
      </c>
      <c r="I613" s="36" t="s">
        <v>24</v>
      </c>
      <c r="J613" s="46" t="s">
        <v>3</v>
      </c>
      <c r="K613" s="42" t="s">
        <v>1461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</row>
    <row r="614" spans="2:59" s="9" customFormat="1" ht="45" x14ac:dyDescent="0.25">
      <c r="B614" s="36">
        <v>625</v>
      </c>
      <c r="C614" s="36" t="s">
        <v>1364</v>
      </c>
      <c r="D614" s="36" t="s">
        <v>1156</v>
      </c>
      <c r="E614" s="36">
        <v>720</v>
      </c>
      <c r="F614" s="39">
        <v>720</v>
      </c>
      <c r="G614" s="47" t="s">
        <v>1460</v>
      </c>
      <c r="H614" s="41" t="s">
        <v>56</v>
      </c>
      <c r="I614" s="36" t="s">
        <v>24</v>
      </c>
      <c r="J614" s="46" t="s">
        <v>3</v>
      </c>
      <c r="K614" s="42" t="s">
        <v>1462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</row>
    <row r="615" spans="2:59" s="9" customFormat="1" ht="45" x14ac:dyDescent="0.25">
      <c r="B615" s="36">
        <v>626</v>
      </c>
      <c r="C615" s="36" t="s">
        <v>1365</v>
      </c>
      <c r="D615" s="36" t="s">
        <v>108</v>
      </c>
      <c r="E615" s="36">
        <v>870.1</v>
      </c>
      <c r="F615" s="39">
        <v>880</v>
      </c>
      <c r="G615" s="47" t="s">
        <v>1460</v>
      </c>
      <c r="H615" s="41" t="s">
        <v>56</v>
      </c>
      <c r="I615" s="36" t="s">
        <v>24</v>
      </c>
      <c r="J615" s="46" t="s">
        <v>3</v>
      </c>
      <c r="K615" s="42" t="s">
        <v>1463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</row>
    <row r="616" spans="2:59" s="9" customFormat="1" ht="45" x14ac:dyDescent="0.25">
      <c r="B616" s="36">
        <v>627</v>
      </c>
      <c r="C616" s="36" t="s">
        <v>326</v>
      </c>
      <c r="D616" s="36" t="s">
        <v>108</v>
      </c>
      <c r="E616" s="36">
        <v>277.2</v>
      </c>
      <c r="F616" s="39">
        <v>480</v>
      </c>
      <c r="G616" s="47" t="s">
        <v>1460</v>
      </c>
      <c r="H616" s="41" t="s">
        <v>56</v>
      </c>
      <c r="I616" s="36" t="s">
        <v>24</v>
      </c>
      <c r="J616" s="46" t="s">
        <v>3</v>
      </c>
      <c r="K616" s="42" t="s">
        <v>1464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</row>
    <row r="617" spans="2:59" s="9" customFormat="1" ht="45" x14ac:dyDescent="0.25">
      <c r="B617" s="36">
        <v>628</v>
      </c>
      <c r="C617" s="36" t="s">
        <v>209</v>
      </c>
      <c r="D617" s="36" t="s">
        <v>110</v>
      </c>
      <c r="E617" s="36" t="s">
        <v>1545</v>
      </c>
      <c r="F617" s="39">
        <v>2250</v>
      </c>
      <c r="G617" s="47" t="s">
        <v>1460</v>
      </c>
      <c r="H617" s="41" t="s">
        <v>56</v>
      </c>
      <c r="I617" s="36" t="s">
        <v>24</v>
      </c>
      <c r="J617" s="46" t="s">
        <v>3</v>
      </c>
      <c r="K617" s="42" t="s">
        <v>1465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</row>
    <row r="618" spans="2:59" s="9" customFormat="1" ht="45" x14ac:dyDescent="0.25">
      <c r="B618" s="36">
        <v>629</v>
      </c>
      <c r="C618" s="36" t="s">
        <v>1366</v>
      </c>
      <c r="D618" s="36" t="s">
        <v>108</v>
      </c>
      <c r="E618" s="36">
        <v>349.8</v>
      </c>
      <c r="F618" s="39">
        <v>350</v>
      </c>
      <c r="G618" s="47" t="s">
        <v>1460</v>
      </c>
      <c r="H618" s="41" t="s">
        <v>56</v>
      </c>
      <c r="I618" s="36" t="s">
        <v>24</v>
      </c>
      <c r="J618" s="46" t="s">
        <v>3</v>
      </c>
      <c r="K618" s="42" t="s">
        <v>1466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</row>
    <row r="619" spans="2:59" s="9" customFormat="1" ht="45" x14ac:dyDescent="0.25">
      <c r="B619" s="36">
        <v>630</v>
      </c>
      <c r="C619" s="36" t="s">
        <v>1367</v>
      </c>
      <c r="D619" s="36" t="s">
        <v>108</v>
      </c>
      <c r="E619" s="36" t="s">
        <v>1770</v>
      </c>
      <c r="F619" s="39">
        <v>3200</v>
      </c>
      <c r="G619" s="47" t="s">
        <v>1460</v>
      </c>
      <c r="H619" s="41" t="s">
        <v>56</v>
      </c>
      <c r="I619" s="36" t="s">
        <v>24</v>
      </c>
      <c r="J619" s="46" t="s">
        <v>3</v>
      </c>
      <c r="K619" s="42" t="s">
        <v>1769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</row>
    <row r="620" spans="2:59" s="9" customFormat="1" ht="45" x14ac:dyDescent="0.25">
      <c r="B620" s="36">
        <v>631</v>
      </c>
      <c r="C620" s="36" t="s">
        <v>120</v>
      </c>
      <c r="D620" s="36" t="s">
        <v>108</v>
      </c>
      <c r="E620" s="36">
        <v>650</v>
      </c>
      <c r="F620" s="39">
        <v>800</v>
      </c>
      <c r="G620" s="47" t="s">
        <v>1460</v>
      </c>
      <c r="H620" s="41" t="s">
        <v>56</v>
      </c>
      <c r="I620" s="36" t="s">
        <v>24</v>
      </c>
      <c r="J620" s="46" t="s">
        <v>3</v>
      </c>
      <c r="K620" s="42" t="s">
        <v>1467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</row>
    <row r="621" spans="2:59" s="9" customFormat="1" ht="45" x14ac:dyDescent="0.25">
      <c r="B621" s="36">
        <v>632</v>
      </c>
      <c r="C621" s="36" t="s">
        <v>1368</v>
      </c>
      <c r="D621" s="36" t="s">
        <v>108</v>
      </c>
      <c r="E621" s="52">
        <v>479.21</v>
      </c>
      <c r="F621" s="39">
        <v>960</v>
      </c>
      <c r="G621" s="47" t="s">
        <v>1460</v>
      </c>
      <c r="H621" s="41" t="s">
        <v>56</v>
      </c>
      <c r="I621" s="36" t="s">
        <v>24</v>
      </c>
      <c r="J621" s="46" t="s">
        <v>3</v>
      </c>
      <c r="K621" s="42" t="s">
        <v>1468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</row>
    <row r="622" spans="2:59" s="9" customFormat="1" ht="45" x14ac:dyDescent="0.25">
      <c r="B622" s="36">
        <v>633</v>
      </c>
      <c r="C622" s="36" t="s">
        <v>109</v>
      </c>
      <c r="D622" s="36" t="s">
        <v>110</v>
      </c>
      <c r="E622" s="52" t="s">
        <v>1549</v>
      </c>
      <c r="F622" s="39">
        <v>1700</v>
      </c>
      <c r="G622" s="47" t="s">
        <v>1460</v>
      </c>
      <c r="H622" s="41" t="s">
        <v>56</v>
      </c>
      <c r="I622" s="36" t="s">
        <v>24</v>
      </c>
      <c r="J622" s="46" t="s">
        <v>3</v>
      </c>
      <c r="K622" s="42" t="s">
        <v>1546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</row>
    <row r="623" spans="2:59" s="9" customFormat="1" ht="45" x14ac:dyDescent="0.25">
      <c r="B623" s="36">
        <v>634</v>
      </c>
      <c r="C623" s="36" t="s">
        <v>1324</v>
      </c>
      <c r="D623" s="36" t="s">
        <v>1156</v>
      </c>
      <c r="E623" s="52" t="s">
        <v>1568</v>
      </c>
      <c r="F623" s="39">
        <v>2244</v>
      </c>
      <c r="G623" s="47" t="s">
        <v>1460</v>
      </c>
      <c r="H623" s="41" t="s">
        <v>56</v>
      </c>
      <c r="I623" s="36" t="s">
        <v>24</v>
      </c>
      <c r="J623" s="46" t="s">
        <v>3</v>
      </c>
      <c r="K623" s="42" t="s">
        <v>1547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</row>
    <row r="624" spans="2:59" s="9" customFormat="1" ht="45" x14ac:dyDescent="0.25">
      <c r="B624" s="36">
        <v>635</v>
      </c>
      <c r="C624" s="36" t="s">
        <v>1324</v>
      </c>
      <c r="D624" s="36" t="s">
        <v>108</v>
      </c>
      <c r="E624" s="52">
        <f>600</f>
        <v>600</v>
      </c>
      <c r="F624" s="39">
        <v>960</v>
      </c>
      <c r="G624" s="47" t="s">
        <v>1460</v>
      </c>
      <c r="H624" s="41" t="s">
        <v>56</v>
      </c>
      <c r="I624" s="36" t="s">
        <v>24</v>
      </c>
      <c r="J624" s="46" t="s">
        <v>3</v>
      </c>
      <c r="K624" s="42" t="s">
        <v>1548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</row>
    <row r="625" spans="1:59" s="9" customFormat="1" ht="45" x14ac:dyDescent="0.25">
      <c r="B625" s="36">
        <v>637</v>
      </c>
      <c r="C625" s="36" t="s">
        <v>1369</v>
      </c>
      <c r="D625" s="36" t="s">
        <v>1156</v>
      </c>
      <c r="E625" s="52" t="s">
        <v>1541</v>
      </c>
      <c r="F625" s="39">
        <v>2550</v>
      </c>
      <c r="G625" s="47" t="s">
        <v>1460</v>
      </c>
      <c r="H625" s="41" t="s">
        <v>56</v>
      </c>
      <c r="I625" s="36" t="s">
        <v>24</v>
      </c>
      <c r="J625" s="46" t="s">
        <v>3</v>
      </c>
      <c r="K625" s="42" t="s">
        <v>1469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</row>
    <row r="626" spans="1:59" s="9" customFormat="1" ht="45" x14ac:dyDescent="0.25">
      <c r="B626" s="36">
        <v>638</v>
      </c>
      <c r="C626" s="36" t="s">
        <v>272</v>
      </c>
      <c r="D626" s="36" t="s">
        <v>110</v>
      </c>
      <c r="E626" s="52" t="s">
        <v>1542</v>
      </c>
      <c r="F626" s="39">
        <v>1140</v>
      </c>
      <c r="G626" s="47" t="s">
        <v>1460</v>
      </c>
      <c r="H626" s="41" t="s">
        <v>56</v>
      </c>
      <c r="I626" s="36" t="s">
        <v>24</v>
      </c>
      <c r="J626" s="46" t="s">
        <v>3</v>
      </c>
      <c r="K626" s="42" t="s">
        <v>1470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</row>
    <row r="627" spans="1:59" s="9" customFormat="1" ht="45" x14ac:dyDescent="0.25">
      <c r="B627" s="36">
        <v>639</v>
      </c>
      <c r="C627" s="36" t="s">
        <v>1370</v>
      </c>
      <c r="D627" s="36" t="s">
        <v>108</v>
      </c>
      <c r="E627" s="52" t="s">
        <v>1204</v>
      </c>
      <c r="F627" s="39">
        <v>1500</v>
      </c>
      <c r="G627" s="47" t="s">
        <v>1460</v>
      </c>
      <c r="H627" s="41" t="s">
        <v>56</v>
      </c>
      <c r="I627" s="36" t="s">
        <v>24</v>
      </c>
      <c r="J627" s="46" t="s">
        <v>3</v>
      </c>
      <c r="K627" s="42" t="s">
        <v>1471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</row>
    <row r="628" spans="1:59" ht="45" x14ac:dyDescent="0.25">
      <c r="A628" s="1"/>
      <c r="B628" s="36">
        <v>640</v>
      </c>
      <c r="C628" s="36" t="s">
        <v>1371</v>
      </c>
      <c r="D628" s="36" t="s">
        <v>278</v>
      </c>
      <c r="E628" s="52" t="s">
        <v>1557</v>
      </c>
      <c r="F628" s="39">
        <v>3750</v>
      </c>
      <c r="G628" s="47" t="s">
        <v>1460</v>
      </c>
      <c r="H628" s="41" t="s">
        <v>56</v>
      </c>
      <c r="I628" s="36" t="s">
        <v>24</v>
      </c>
      <c r="J628" s="46" t="s">
        <v>3</v>
      </c>
      <c r="K628" s="42" t="s">
        <v>1553</v>
      </c>
    </row>
    <row r="629" spans="1:59" s="9" customFormat="1" ht="45" x14ac:dyDescent="0.25">
      <c r="B629" s="36">
        <v>641</v>
      </c>
      <c r="C629" s="36" t="s">
        <v>1371</v>
      </c>
      <c r="D629" s="36" t="s">
        <v>278</v>
      </c>
      <c r="E629" s="52" t="s">
        <v>1558</v>
      </c>
      <c r="F629" s="39">
        <v>3150</v>
      </c>
      <c r="G629" s="47" t="s">
        <v>1460</v>
      </c>
      <c r="H629" s="41" t="s">
        <v>56</v>
      </c>
      <c r="I629" s="36" t="s">
        <v>24</v>
      </c>
      <c r="J629" s="46" t="s">
        <v>3</v>
      </c>
      <c r="K629" s="42" t="s">
        <v>1554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</row>
    <row r="630" spans="1:59" s="9" customFormat="1" ht="45" x14ac:dyDescent="0.25">
      <c r="B630" s="36">
        <v>642</v>
      </c>
      <c r="C630" s="36" t="s">
        <v>505</v>
      </c>
      <c r="D630" s="36" t="s">
        <v>278</v>
      </c>
      <c r="E630" s="52" t="s">
        <v>1559</v>
      </c>
      <c r="F630" s="39">
        <v>6300</v>
      </c>
      <c r="G630" s="47" t="s">
        <v>1460</v>
      </c>
      <c r="H630" s="41" t="s">
        <v>56</v>
      </c>
      <c r="I630" s="36" t="s">
        <v>24</v>
      </c>
      <c r="J630" s="46" t="s">
        <v>3</v>
      </c>
      <c r="K630" s="42" t="s">
        <v>1555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</row>
    <row r="631" spans="1:59" s="9" customFormat="1" ht="45" x14ac:dyDescent="0.25">
      <c r="B631" s="36">
        <v>643</v>
      </c>
      <c r="C631" s="36" t="s">
        <v>505</v>
      </c>
      <c r="D631" s="36" t="s">
        <v>278</v>
      </c>
      <c r="E631" s="39">
        <v>4180</v>
      </c>
      <c r="F631" s="39">
        <v>4180</v>
      </c>
      <c r="G631" s="47" t="s">
        <v>1460</v>
      </c>
      <c r="H631" s="41" t="s">
        <v>56</v>
      </c>
      <c r="I631" s="36" t="s">
        <v>24</v>
      </c>
      <c r="J631" s="46" t="s">
        <v>3</v>
      </c>
      <c r="K631" s="42" t="s">
        <v>1556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</row>
    <row r="632" spans="1:59" s="9" customFormat="1" ht="56.25" x14ac:dyDescent="0.25">
      <c r="B632" s="36">
        <v>644</v>
      </c>
      <c r="C632" s="36" t="s">
        <v>1372</v>
      </c>
      <c r="D632" s="36" t="s">
        <v>1373</v>
      </c>
      <c r="E632" s="52">
        <f>16830+10475</f>
        <v>27305</v>
      </c>
      <c r="F632" s="39">
        <v>27409</v>
      </c>
      <c r="G632" s="47" t="s">
        <v>1472</v>
      </c>
      <c r="H632" s="41" t="s">
        <v>56</v>
      </c>
      <c r="I632" s="51" t="s">
        <v>9</v>
      </c>
      <c r="J632" s="46"/>
      <c r="K632" s="46" t="s">
        <v>1792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</row>
    <row r="633" spans="1:59" s="9" customFormat="1" ht="22.5" x14ac:dyDescent="0.25">
      <c r="B633" s="36">
        <v>645</v>
      </c>
      <c r="C633" s="36" t="s">
        <v>1374</v>
      </c>
      <c r="D633" s="36" t="s">
        <v>1375</v>
      </c>
      <c r="E633" s="52">
        <v>202357.16</v>
      </c>
      <c r="F633" s="39">
        <v>284550</v>
      </c>
      <c r="G633" s="47" t="s">
        <v>1472</v>
      </c>
      <c r="H633" s="41" t="s">
        <v>56</v>
      </c>
      <c r="I633" s="51" t="s">
        <v>19</v>
      </c>
      <c r="J633" s="46"/>
      <c r="K633" s="46" t="s">
        <v>2564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</row>
    <row r="634" spans="1:59" s="9" customFormat="1" ht="45" x14ac:dyDescent="0.25">
      <c r="B634" s="36">
        <v>646</v>
      </c>
      <c r="C634" s="36" t="s">
        <v>1376</v>
      </c>
      <c r="D634" s="36" t="s">
        <v>1156</v>
      </c>
      <c r="E634" s="36" t="s">
        <v>1513</v>
      </c>
      <c r="F634" s="39">
        <v>1180</v>
      </c>
      <c r="G634" s="47" t="s">
        <v>1473</v>
      </c>
      <c r="H634" s="41" t="s">
        <v>56</v>
      </c>
      <c r="I634" s="36" t="s">
        <v>24</v>
      </c>
      <c r="J634" s="46" t="s">
        <v>3</v>
      </c>
      <c r="K634" s="42" t="s">
        <v>1560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</row>
    <row r="635" spans="1:59" s="9" customFormat="1" ht="45" x14ac:dyDescent="0.25">
      <c r="B635" s="36">
        <v>647</v>
      </c>
      <c r="C635" s="36" t="s">
        <v>1377</v>
      </c>
      <c r="D635" s="36" t="s">
        <v>232</v>
      </c>
      <c r="E635" s="36" t="s">
        <v>605</v>
      </c>
      <c r="F635" s="39">
        <v>1750</v>
      </c>
      <c r="G635" s="47" t="s">
        <v>1473</v>
      </c>
      <c r="H635" s="41" t="s">
        <v>56</v>
      </c>
      <c r="I635" s="36" t="s">
        <v>24</v>
      </c>
      <c r="J635" s="46" t="s">
        <v>3</v>
      </c>
      <c r="K635" s="42" t="s">
        <v>1561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</row>
    <row r="636" spans="1:59" s="9" customFormat="1" ht="45" x14ac:dyDescent="0.25">
      <c r="B636" s="36">
        <v>648</v>
      </c>
      <c r="C636" s="36" t="s">
        <v>1378</v>
      </c>
      <c r="D636" s="36" t="s">
        <v>1156</v>
      </c>
      <c r="E636" s="36" t="s">
        <v>1750</v>
      </c>
      <c r="F636" s="39">
        <v>1350</v>
      </c>
      <c r="G636" s="47" t="s">
        <v>1473</v>
      </c>
      <c r="H636" s="41" t="s">
        <v>56</v>
      </c>
      <c r="I636" s="36" t="s">
        <v>24</v>
      </c>
      <c r="J636" s="46" t="s">
        <v>3</v>
      </c>
      <c r="K636" s="42" t="s">
        <v>1562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</row>
    <row r="637" spans="1:59" s="9" customFormat="1" ht="45" x14ac:dyDescent="0.25">
      <c r="B637" s="36">
        <v>649</v>
      </c>
      <c r="C637" s="36" t="s">
        <v>1378</v>
      </c>
      <c r="D637" s="36" t="s">
        <v>108</v>
      </c>
      <c r="E637" s="36">
        <v>840</v>
      </c>
      <c r="F637" s="39">
        <v>1620</v>
      </c>
      <c r="G637" s="47" t="s">
        <v>1473</v>
      </c>
      <c r="H637" s="41" t="s">
        <v>56</v>
      </c>
      <c r="I637" s="36" t="s">
        <v>24</v>
      </c>
      <c r="J637" s="46" t="s">
        <v>3</v>
      </c>
      <c r="K637" s="42" t="s">
        <v>1563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</row>
    <row r="638" spans="1:59" s="9" customFormat="1" ht="45" x14ac:dyDescent="0.25">
      <c r="B638" s="36">
        <v>650</v>
      </c>
      <c r="C638" s="36" t="s">
        <v>1379</v>
      </c>
      <c r="D638" s="36" t="s">
        <v>108</v>
      </c>
      <c r="E638" s="36">
        <v>450</v>
      </c>
      <c r="F638" s="39">
        <v>450</v>
      </c>
      <c r="G638" s="47" t="s">
        <v>1473</v>
      </c>
      <c r="H638" s="41" t="s">
        <v>56</v>
      </c>
      <c r="I638" s="36" t="s">
        <v>24</v>
      </c>
      <c r="J638" s="46" t="s">
        <v>3</v>
      </c>
      <c r="K638" s="42" t="s">
        <v>1766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</row>
    <row r="639" spans="1:59" s="9" customFormat="1" ht="45" x14ac:dyDescent="0.25">
      <c r="B639" s="36">
        <v>651</v>
      </c>
      <c r="C639" s="36" t="s">
        <v>1380</v>
      </c>
      <c r="D639" s="36" t="s">
        <v>108</v>
      </c>
      <c r="E639" s="52">
        <v>450</v>
      </c>
      <c r="F639" s="39">
        <v>450</v>
      </c>
      <c r="G639" s="47" t="s">
        <v>1473</v>
      </c>
      <c r="H639" s="41" t="s">
        <v>56</v>
      </c>
      <c r="I639" s="36" t="s">
        <v>24</v>
      </c>
      <c r="J639" s="46" t="s">
        <v>3</v>
      </c>
      <c r="K639" s="42" t="s">
        <v>1767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</row>
    <row r="640" spans="1:59" ht="29.25" customHeight="1" x14ac:dyDescent="0.25">
      <c r="A640" s="1"/>
      <c r="B640" s="36">
        <v>652</v>
      </c>
      <c r="C640" s="36" t="s">
        <v>1381</v>
      </c>
      <c r="D640" s="36" t="s">
        <v>108</v>
      </c>
      <c r="E640" s="52">
        <v>255.5</v>
      </c>
      <c r="F640" s="39">
        <v>540</v>
      </c>
      <c r="G640" s="47" t="s">
        <v>1473</v>
      </c>
      <c r="H640" s="41" t="s">
        <v>56</v>
      </c>
      <c r="I640" s="36" t="s">
        <v>24</v>
      </c>
      <c r="J640" s="46" t="s">
        <v>3</v>
      </c>
      <c r="K640" s="42" t="s">
        <v>1768</v>
      </c>
    </row>
    <row r="641" spans="2:59" s="9" customFormat="1" ht="45" x14ac:dyDescent="0.25">
      <c r="B641" s="36">
        <v>653</v>
      </c>
      <c r="C641" s="36" t="s">
        <v>1376</v>
      </c>
      <c r="D641" s="36" t="s">
        <v>108</v>
      </c>
      <c r="E641" s="52">
        <v>457.6</v>
      </c>
      <c r="F641" s="39">
        <v>540</v>
      </c>
      <c r="G641" s="47" t="s">
        <v>1473</v>
      </c>
      <c r="H641" s="41" t="s">
        <v>56</v>
      </c>
      <c r="I641" s="36" t="s">
        <v>24</v>
      </c>
      <c r="J641" s="46" t="s">
        <v>3</v>
      </c>
      <c r="K641" s="42" t="s">
        <v>1758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</row>
    <row r="642" spans="2:59" s="9" customFormat="1" ht="45" x14ac:dyDescent="0.25">
      <c r="B642" s="36">
        <v>654</v>
      </c>
      <c r="C642" s="36" t="s">
        <v>613</v>
      </c>
      <c r="D642" s="36" t="s">
        <v>108</v>
      </c>
      <c r="E642" s="52" t="s">
        <v>1761</v>
      </c>
      <c r="F642" s="39">
        <v>2070</v>
      </c>
      <c r="G642" s="47" t="s">
        <v>1473</v>
      </c>
      <c r="H642" s="41" t="s">
        <v>56</v>
      </c>
      <c r="I642" s="36" t="s">
        <v>24</v>
      </c>
      <c r="J642" s="46" t="s">
        <v>3</v>
      </c>
      <c r="K642" s="42" t="s">
        <v>1759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</row>
    <row r="643" spans="2:59" s="9" customFormat="1" ht="45" x14ac:dyDescent="0.25">
      <c r="B643" s="36">
        <v>655</v>
      </c>
      <c r="C643" s="36" t="s">
        <v>1382</v>
      </c>
      <c r="D643" s="36" t="s">
        <v>108</v>
      </c>
      <c r="E643" s="52">
        <v>450</v>
      </c>
      <c r="F643" s="39">
        <v>450</v>
      </c>
      <c r="G643" s="47" t="s">
        <v>1473</v>
      </c>
      <c r="H643" s="41" t="s">
        <v>56</v>
      </c>
      <c r="I643" s="36" t="s">
        <v>24</v>
      </c>
      <c r="J643" s="46" t="s">
        <v>3</v>
      </c>
      <c r="K643" s="42" t="s">
        <v>1760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</row>
    <row r="644" spans="2:59" s="9" customFormat="1" ht="45" x14ac:dyDescent="0.25">
      <c r="B644" s="36">
        <v>656</v>
      </c>
      <c r="C644" s="36" t="s">
        <v>1383</v>
      </c>
      <c r="D644" s="36" t="s">
        <v>108</v>
      </c>
      <c r="E644" s="52">
        <f>142.63+235.37+262.58+315.5+213.19+59.98+876.46+1304.35+116.93+99.48+596.23+161.78+150.19+46.87+401.69</f>
        <v>4983.2299999999987</v>
      </c>
      <c r="F644" s="39">
        <v>5000</v>
      </c>
      <c r="G644" s="47" t="s">
        <v>1473</v>
      </c>
      <c r="H644" s="41" t="s">
        <v>56</v>
      </c>
      <c r="I644" s="36" t="s">
        <v>24</v>
      </c>
      <c r="J644" s="46" t="s">
        <v>3</v>
      </c>
      <c r="K644" s="42" t="s">
        <v>1474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</row>
    <row r="645" spans="2:59" s="9" customFormat="1" ht="45" x14ac:dyDescent="0.25">
      <c r="B645" s="36">
        <v>657</v>
      </c>
      <c r="C645" s="65" t="s">
        <v>1384</v>
      </c>
      <c r="D645" s="36" t="s">
        <v>108</v>
      </c>
      <c r="E645" s="52">
        <f>341.33+97.7+148.8+11.21</f>
        <v>599.04</v>
      </c>
      <c r="F645" s="39">
        <v>3000</v>
      </c>
      <c r="G645" s="47" t="s">
        <v>1473</v>
      </c>
      <c r="H645" s="41" t="s">
        <v>56</v>
      </c>
      <c r="I645" s="36" t="s">
        <v>24</v>
      </c>
      <c r="J645" s="46" t="s">
        <v>3</v>
      </c>
      <c r="K645" s="42" t="s">
        <v>1475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</row>
    <row r="646" spans="2:59" s="9" customFormat="1" ht="45" x14ac:dyDescent="0.25">
      <c r="B646" s="36">
        <v>658</v>
      </c>
      <c r="C646" s="36" t="s">
        <v>1385</v>
      </c>
      <c r="D646" s="36" t="s">
        <v>108</v>
      </c>
      <c r="E646" s="52">
        <f>606.28+194.73</f>
        <v>801.01</v>
      </c>
      <c r="F646" s="39">
        <v>5000</v>
      </c>
      <c r="G646" s="47" t="s">
        <v>1473</v>
      </c>
      <c r="H646" s="41" t="s">
        <v>56</v>
      </c>
      <c r="I646" s="36" t="s">
        <v>24</v>
      </c>
      <c r="J646" s="46" t="s">
        <v>3</v>
      </c>
      <c r="K646" s="42" t="s">
        <v>2565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</row>
    <row r="647" spans="2:59" s="9" customFormat="1" ht="45" x14ac:dyDescent="0.25">
      <c r="B647" s="36">
        <v>659</v>
      </c>
      <c r="C647" s="36" t="s">
        <v>1386</v>
      </c>
      <c r="D647" s="36" t="s">
        <v>108</v>
      </c>
      <c r="E647" s="52">
        <f>57.82+172.28+531+960+57.82+122.72</f>
        <v>1901.6399999999999</v>
      </c>
      <c r="F647" s="39">
        <v>5000</v>
      </c>
      <c r="G647" s="47" t="s">
        <v>1473</v>
      </c>
      <c r="H647" s="41" t="s">
        <v>56</v>
      </c>
      <c r="I647" s="36" t="s">
        <v>24</v>
      </c>
      <c r="J647" s="46" t="s">
        <v>3</v>
      </c>
      <c r="K647" s="42" t="s">
        <v>1476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</row>
    <row r="648" spans="2:59" s="9" customFormat="1" ht="45" x14ac:dyDescent="0.25">
      <c r="B648" s="36">
        <v>660</v>
      </c>
      <c r="C648" s="36" t="s">
        <v>1387</v>
      </c>
      <c r="D648" s="36" t="s">
        <v>108</v>
      </c>
      <c r="E648" s="52">
        <f>236.56+199.16</f>
        <v>435.72</v>
      </c>
      <c r="F648" s="39">
        <v>5000</v>
      </c>
      <c r="G648" s="47" t="s">
        <v>1473</v>
      </c>
      <c r="H648" s="41" t="s">
        <v>56</v>
      </c>
      <c r="I648" s="36" t="s">
        <v>24</v>
      </c>
      <c r="J648" s="46" t="s">
        <v>3</v>
      </c>
      <c r="K648" s="42" t="s">
        <v>1477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</row>
    <row r="649" spans="2:59" s="9" customFormat="1" ht="45" x14ac:dyDescent="0.25">
      <c r="B649" s="36">
        <v>661</v>
      </c>
      <c r="C649" s="36" t="s">
        <v>1388</v>
      </c>
      <c r="D649" s="36" t="s">
        <v>110</v>
      </c>
      <c r="E649" s="52" t="s">
        <v>1751</v>
      </c>
      <c r="F649" s="39">
        <v>5800</v>
      </c>
      <c r="G649" s="47" t="s">
        <v>1473</v>
      </c>
      <c r="H649" s="41" t="s">
        <v>56</v>
      </c>
      <c r="I649" s="36" t="s">
        <v>24</v>
      </c>
      <c r="J649" s="46" t="s">
        <v>3</v>
      </c>
      <c r="K649" s="42" t="s">
        <v>1747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</row>
    <row r="650" spans="2:59" s="9" customFormat="1" ht="45" x14ac:dyDescent="0.25">
      <c r="B650" s="36">
        <v>662</v>
      </c>
      <c r="C650" s="36" t="s">
        <v>505</v>
      </c>
      <c r="D650" s="36" t="s">
        <v>278</v>
      </c>
      <c r="E650" s="52" t="s">
        <v>1749</v>
      </c>
      <c r="F650" s="39">
        <v>4440.6000000000004</v>
      </c>
      <c r="G650" s="47" t="s">
        <v>1473</v>
      </c>
      <c r="H650" s="41" t="s">
        <v>56</v>
      </c>
      <c r="I650" s="36" t="s">
        <v>24</v>
      </c>
      <c r="J650" s="46" t="s">
        <v>3</v>
      </c>
      <c r="K650" s="42" t="s">
        <v>1748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</row>
    <row r="651" spans="2:59" s="9" customFormat="1" ht="45" x14ac:dyDescent="0.25">
      <c r="B651" s="36">
        <v>663</v>
      </c>
      <c r="C651" s="36" t="s">
        <v>1389</v>
      </c>
      <c r="D651" s="36" t="s">
        <v>108</v>
      </c>
      <c r="E651" s="52">
        <v>182.6</v>
      </c>
      <c r="F651" s="39">
        <v>200</v>
      </c>
      <c r="G651" s="47" t="s">
        <v>1478</v>
      </c>
      <c r="H651" s="41" t="s">
        <v>56</v>
      </c>
      <c r="I651" s="36" t="s">
        <v>24</v>
      </c>
      <c r="J651" s="46" t="s">
        <v>3</v>
      </c>
      <c r="K651" s="42" t="s">
        <v>1479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</row>
    <row r="652" spans="2:59" s="9" customFormat="1" ht="45" x14ac:dyDescent="0.25">
      <c r="B652" s="36">
        <v>664</v>
      </c>
      <c r="C652" s="36" t="s">
        <v>1390</v>
      </c>
      <c r="D652" s="36" t="s">
        <v>108</v>
      </c>
      <c r="E652" s="52">
        <v>189</v>
      </c>
      <c r="F652" s="39">
        <v>200</v>
      </c>
      <c r="G652" s="47" t="s">
        <v>1478</v>
      </c>
      <c r="H652" s="41" t="s">
        <v>56</v>
      </c>
      <c r="I652" s="36" t="s">
        <v>24</v>
      </c>
      <c r="J652" s="46" t="s">
        <v>3</v>
      </c>
      <c r="K652" s="42" t="s">
        <v>1544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</row>
    <row r="653" spans="2:59" s="9" customFormat="1" ht="45" x14ac:dyDescent="0.25">
      <c r="B653" s="36">
        <v>665</v>
      </c>
      <c r="C653" s="36" t="s">
        <v>1391</v>
      </c>
      <c r="D653" s="36" t="s">
        <v>108</v>
      </c>
      <c r="E653" s="52">
        <v>215.5</v>
      </c>
      <c r="F653" s="39">
        <v>240</v>
      </c>
      <c r="G653" s="47" t="s">
        <v>1478</v>
      </c>
      <c r="H653" s="41" t="s">
        <v>56</v>
      </c>
      <c r="I653" s="36" t="s">
        <v>24</v>
      </c>
      <c r="J653" s="46" t="s">
        <v>3</v>
      </c>
      <c r="K653" s="42" t="s">
        <v>1480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</row>
    <row r="654" spans="2:59" s="9" customFormat="1" ht="45" x14ac:dyDescent="0.25">
      <c r="B654" s="36">
        <v>666</v>
      </c>
      <c r="C654" s="36" t="s">
        <v>1392</v>
      </c>
      <c r="D654" s="36" t="s">
        <v>232</v>
      </c>
      <c r="E654" s="52" t="s">
        <v>1565</v>
      </c>
      <c r="F654" s="39">
        <v>2500</v>
      </c>
      <c r="G654" s="47" t="s">
        <v>1478</v>
      </c>
      <c r="H654" s="41" t="s">
        <v>56</v>
      </c>
      <c r="I654" s="36" t="s">
        <v>24</v>
      </c>
      <c r="J654" s="46" t="s">
        <v>3</v>
      </c>
      <c r="K654" s="42" t="s">
        <v>1564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</row>
    <row r="655" spans="2:59" s="9" customFormat="1" ht="45" x14ac:dyDescent="0.25">
      <c r="B655" s="36">
        <v>667</v>
      </c>
      <c r="C655" s="36" t="s">
        <v>1393</v>
      </c>
      <c r="D655" s="36" t="s">
        <v>110</v>
      </c>
      <c r="E655" s="52" t="s">
        <v>1123</v>
      </c>
      <c r="F655" s="39" t="s">
        <v>1123</v>
      </c>
      <c r="G655" s="47" t="s">
        <v>1478</v>
      </c>
      <c r="H655" s="41" t="s">
        <v>56</v>
      </c>
      <c r="I655" s="36" t="s">
        <v>24</v>
      </c>
      <c r="J655" s="46" t="s">
        <v>3</v>
      </c>
      <c r="K655" s="42" t="s">
        <v>1566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</row>
    <row r="656" spans="2:59" s="9" customFormat="1" ht="45" x14ac:dyDescent="0.25">
      <c r="B656" s="36">
        <v>668</v>
      </c>
      <c r="C656" s="36" t="s">
        <v>1394</v>
      </c>
      <c r="D656" s="36" t="s">
        <v>1156</v>
      </c>
      <c r="E656" s="52">
        <v>660</v>
      </c>
      <c r="F656" s="39">
        <v>660</v>
      </c>
      <c r="G656" s="47" t="s">
        <v>1478</v>
      </c>
      <c r="H656" s="41" t="s">
        <v>56</v>
      </c>
      <c r="I656" s="36" t="s">
        <v>24</v>
      </c>
      <c r="J656" s="46" t="s">
        <v>3</v>
      </c>
      <c r="K656" s="42" t="s">
        <v>1567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</row>
    <row r="657" spans="1:59" s="9" customFormat="1" ht="90" x14ac:dyDescent="0.25">
      <c r="B657" s="36">
        <v>669</v>
      </c>
      <c r="C657" s="36" t="s">
        <v>1395</v>
      </c>
      <c r="D657" s="36" t="s">
        <v>360</v>
      </c>
      <c r="E657" s="52">
        <v>30</v>
      </c>
      <c r="F657" s="36">
        <v>30</v>
      </c>
      <c r="G657" s="36" t="s">
        <v>1478</v>
      </c>
      <c r="H657" s="36" t="s">
        <v>56</v>
      </c>
      <c r="I657" s="36" t="s">
        <v>24</v>
      </c>
      <c r="J657" s="51" t="s">
        <v>25</v>
      </c>
      <c r="K657" s="42" t="s">
        <v>1598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</row>
    <row r="658" spans="1:59" s="9" customFormat="1" ht="45" x14ac:dyDescent="0.25">
      <c r="B658" s="36">
        <v>670</v>
      </c>
      <c r="C658" s="36" t="s">
        <v>1396</v>
      </c>
      <c r="D658" s="36" t="s">
        <v>1397</v>
      </c>
      <c r="E658" s="52">
        <v>150</v>
      </c>
      <c r="F658" s="39">
        <v>150</v>
      </c>
      <c r="G658" s="36" t="s">
        <v>1478</v>
      </c>
      <c r="H658" s="36" t="s">
        <v>56</v>
      </c>
      <c r="I658" s="36" t="s">
        <v>24</v>
      </c>
      <c r="J658" s="46" t="s">
        <v>3</v>
      </c>
      <c r="K658" s="42" t="s">
        <v>1579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</row>
    <row r="659" spans="1:59" s="3" customFormat="1" ht="45" x14ac:dyDescent="0.25">
      <c r="B659" s="36">
        <v>671</v>
      </c>
      <c r="C659" s="36" t="s">
        <v>1399</v>
      </c>
      <c r="D659" s="36" t="s">
        <v>1156</v>
      </c>
      <c r="E659" s="52">
        <v>247.5</v>
      </c>
      <c r="F659" s="39">
        <v>247.5</v>
      </c>
      <c r="G659" s="36" t="s">
        <v>1481</v>
      </c>
      <c r="H659" s="36" t="s">
        <v>56</v>
      </c>
      <c r="I659" s="36" t="s">
        <v>24</v>
      </c>
      <c r="J659" s="46" t="s">
        <v>3</v>
      </c>
      <c r="K659" s="42" t="s">
        <v>1580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</row>
    <row r="660" spans="1:59" s="9" customFormat="1" x14ac:dyDescent="0.25">
      <c r="B660" s="36">
        <v>672</v>
      </c>
      <c r="C660" s="36" t="s">
        <v>1398</v>
      </c>
      <c r="D660" s="36" t="s">
        <v>900</v>
      </c>
      <c r="E660" s="52">
        <f>3340+5600+6000</f>
        <v>14940</v>
      </c>
      <c r="F660" s="39">
        <v>14940</v>
      </c>
      <c r="G660" s="47" t="s">
        <v>1481</v>
      </c>
      <c r="H660" s="41" t="s">
        <v>28</v>
      </c>
      <c r="I660" s="51" t="s">
        <v>9</v>
      </c>
      <c r="J660" s="46" t="s">
        <v>1772</v>
      </c>
      <c r="K660" s="4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</row>
    <row r="661" spans="1:59" s="9" customFormat="1" ht="45" x14ac:dyDescent="0.25">
      <c r="B661" s="36">
        <v>673</v>
      </c>
      <c r="C661" s="36" t="s">
        <v>1400</v>
      </c>
      <c r="D661" s="36" t="s">
        <v>232</v>
      </c>
      <c r="E661" s="52" t="s">
        <v>1754</v>
      </c>
      <c r="F661" s="39">
        <v>3365</v>
      </c>
      <c r="G661" s="47" t="s">
        <v>1481</v>
      </c>
      <c r="H661" s="41" t="s">
        <v>56</v>
      </c>
      <c r="I661" s="36" t="s">
        <v>24</v>
      </c>
      <c r="J661" s="46" t="s">
        <v>3</v>
      </c>
      <c r="K661" s="42" t="s">
        <v>1581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</row>
    <row r="662" spans="1:59" s="9" customFormat="1" ht="45" x14ac:dyDescent="0.25">
      <c r="B662" s="36">
        <v>674</v>
      </c>
      <c r="C662" s="36" t="s">
        <v>1400</v>
      </c>
      <c r="D662" s="36" t="s">
        <v>110</v>
      </c>
      <c r="E662" s="52" t="s">
        <v>1753</v>
      </c>
      <c r="F662" s="39">
        <v>2850</v>
      </c>
      <c r="G662" s="47" t="s">
        <v>1481</v>
      </c>
      <c r="H662" s="41" t="s">
        <v>56</v>
      </c>
      <c r="I662" s="36" t="s">
        <v>24</v>
      </c>
      <c r="J662" s="46" t="s">
        <v>3</v>
      </c>
      <c r="K662" s="42" t="s">
        <v>1582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</row>
    <row r="663" spans="1:59" s="9" customFormat="1" ht="45" x14ac:dyDescent="0.25">
      <c r="B663" s="36">
        <v>676</v>
      </c>
      <c r="C663" s="36" t="s">
        <v>1401</v>
      </c>
      <c r="D663" s="36" t="s">
        <v>108</v>
      </c>
      <c r="E663" s="52">
        <f>160+160+100+120</f>
        <v>540</v>
      </c>
      <c r="F663" s="39">
        <v>3000</v>
      </c>
      <c r="G663" s="47" t="s">
        <v>1481</v>
      </c>
      <c r="H663" s="41" t="s">
        <v>56</v>
      </c>
      <c r="I663" s="36" t="s">
        <v>24</v>
      </c>
      <c r="J663" s="46" t="s">
        <v>3</v>
      </c>
      <c r="K663" s="42" t="s">
        <v>1583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</row>
    <row r="664" spans="1:59" s="9" customFormat="1" ht="45" x14ac:dyDescent="0.25">
      <c r="B664" s="36">
        <v>677</v>
      </c>
      <c r="C664" s="36" t="s">
        <v>505</v>
      </c>
      <c r="D664" s="36" t="s">
        <v>278</v>
      </c>
      <c r="E664" s="52" t="s">
        <v>1752</v>
      </c>
      <c r="F664" s="39">
        <v>8360</v>
      </c>
      <c r="G664" s="47" t="s">
        <v>1481</v>
      </c>
      <c r="H664" s="41" t="s">
        <v>56</v>
      </c>
      <c r="I664" s="36" t="s">
        <v>24</v>
      </c>
      <c r="J664" s="46" t="s">
        <v>3</v>
      </c>
      <c r="K664" s="42" t="s">
        <v>1584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</row>
    <row r="665" spans="1:59" s="9" customFormat="1" ht="45" x14ac:dyDescent="0.25">
      <c r="B665" s="36">
        <v>678</v>
      </c>
      <c r="C665" s="36" t="s">
        <v>516</v>
      </c>
      <c r="D665" s="36" t="s">
        <v>232</v>
      </c>
      <c r="E665" s="52" t="s">
        <v>1778</v>
      </c>
      <c r="F665" s="39" t="s">
        <v>1778</v>
      </c>
      <c r="G665" s="47" t="s">
        <v>1482</v>
      </c>
      <c r="H665" s="41" t="s">
        <v>56</v>
      </c>
      <c r="I665" s="36" t="s">
        <v>24</v>
      </c>
      <c r="J665" s="46" t="s">
        <v>3</v>
      </c>
      <c r="K665" s="42" t="s">
        <v>1585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</row>
    <row r="666" spans="1:59" ht="45" x14ac:dyDescent="0.25">
      <c r="A666" s="1"/>
      <c r="B666" s="36">
        <v>679</v>
      </c>
      <c r="C666" s="36" t="s">
        <v>516</v>
      </c>
      <c r="D666" s="36" t="s">
        <v>110</v>
      </c>
      <c r="E666" s="52" t="s">
        <v>1791</v>
      </c>
      <c r="F666" s="39">
        <v>7600</v>
      </c>
      <c r="G666" s="47" t="s">
        <v>1482</v>
      </c>
      <c r="H666" s="41" t="s">
        <v>56</v>
      </c>
      <c r="I666" s="36" t="s">
        <v>24</v>
      </c>
      <c r="J666" s="46" t="s">
        <v>3</v>
      </c>
      <c r="K666" s="42" t="s">
        <v>1586</v>
      </c>
    </row>
    <row r="667" spans="1:59" ht="45" x14ac:dyDescent="0.25">
      <c r="A667" s="1"/>
      <c r="B667" s="36">
        <v>680</v>
      </c>
      <c r="C667" s="36" t="s">
        <v>1366</v>
      </c>
      <c r="D667" s="36" t="s">
        <v>108</v>
      </c>
      <c r="E667" s="52">
        <v>399.3</v>
      </c>
      <c r="F667" s="39">
        <v>400</v>
      </c>
      <c r="G667" s="47" t="s">
        <v>1482</v>
      </c>
      <c r="H667" s="41" t="s">
        <v>56</v>
      </c>
      <c r="I667" s="36" t="s">
        <v>24</v>
      </c>
      <c r="J667" s="46" t="s">
        <v>3</v>
      </c>
      <c r="K667" s="42" t="s">
        <v>1587</v>
      </c>
    </row>
    <row r="668" spans="1:59" ht="45.75" x14ac:dyDescent="0.25">
      <c r="A668" s="1"/>
      <c r="B668" s="36">
        <v>681</v>
      </c>
      <c r="C668" s="36" t="s">
        <v>1347</v>
      </c>
      <c r="D668" s="36" t="s">
        <v>1599</v>
      </c>
      <c r="E668" s="52" t="s">
        <v>1793</v>
      </c>
      <c r="F668" s="39">
        <v>4921</v>
      </c>
      <c r="G668" s="47" t="s">
        <v>1482</v>
      </c>
      <c r="H668" s="41" t="s">
        <v>56</v>
      </c>
      <c r="I668" s="36" t="s">
        <v>24</v>
      </c>
      <c r="J668" s="46" t="s">
        <v>6</v>
      </c>
      <c r="K668" s="42" t="s">
        <v>1588</v>
      </c>
    </row>
    <row r="669" spans="1:59" s="9" customFormat="1" ht="45.75" x14ac:dyDescent="0.25">
      <c r="B669" s="36">
        <v>682</v>
      </c>
      <c r="C669" s="36" t="s">
        <v>1347</v>
      </c>
      <c r="D669" s="36" t="s">
        <v>1600</v>
      </c>
      <c r="E669" s="52" t="s">
        <v>1776</v>
      </c>
      <c r="F669" s="39">
        <v>2478</v>
      </c>
      <c r="G669" s="47" t="s">
        <v>1482</v>
      </c>
      <c r="H669" s="41" t="s">
        <v>56</v>
      </c>
      <c r="I669" s="36" t="s">
        <v>24</v>
      </c>
      <c r="J669" s="46" t="s">
        <v>6</v>
      </c>
      <c r="K669" s="66" t="s">
        <v>1589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</row>
    <row r="670" spans="1:59" s="9" customFormat="1" ht="90" x14ac:dyDescent="0.25">
      <c r="B670" s="36">
        <v>683</v>
      </c>
      <c r="C670" s="36" t="s">
        <v>1601</v>
      </c>
      <c r="D670" s="36" t="s">
        <v>1602</v>
      </c>
      <c r="E670" s="52">
        <f>50000*2+18800</f>
        <v>118800</v>
      </c>
      <c r="F670" s="39">
        <v>118800</v>
      </c>
      <c r="G670" s="47" t="s">
        <v>1482</v>
      </c>
      <c r="H670" s="41" t="s">
        <v>28</v>
      </c>
      <c r="I670" s="36" t="s">
        <v>24</v>
      </c>
      <c r="J670" s="51" t="s">
        <v>1660</v>
      </c>
      <c r="K670" s="42" t="s">
        <v>1590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</row>
    <row r="671" spans="1:59" s="9" customFormat="1" ht="45" x14ac:dyDescent="0.25">
      <c r="B671" s="36">
        <v>684</v>
      </c>
      <c r="C671" s="36" t="s">
        <v>1603</v>
      </c>
      <c r="D671" s="36" t="s">
        <v>110</v>
      </c>
      <c r="E671" s="52" t="s">
        <v>1757</v>
      </c>
      <c r="F671" s="39">
        <v>2240</v>
      </c>
      <c r="G671" s="47" t="s">
        <v>1661</v>
      </c>
      <c r="H671" s="41" t="s">
        <v>56</v>
      </c>
      <c r="I671" s="36" t="s">
        <v>24</v>
      </c>
      <c r="J671" s="46" t="s">
        <v>3</v>
      </c>
      <c r="K671" s="42" t="s">
        <v>1591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</row>
    <row r="672" spans="1:59" s="9" customFormat="1" ht="45" x14ac:dyDescent="0.25">
      <c r="B672" s="36">
        <v>685</v>
      </c>
      <c r="C672" s="36" t="s">
        <v>1603</v>
      </c>
      <c r="D672" s="36" t="s">
        <v>232</v>
      </c>
      <c r="E672" s="52" t="s">
        <v>1756</v>
      </c>
      <c r="F672" s="39">
        <v>2030</v>
      </c>
      <c r="G672" s="47" t="s">
        <v>1661</v>
      </c>
      <c r="H672" s="41" t="s">
        <v>56</v>
      </c>
      <c r="I672" s="36" t="s">
        <v>24</v>
      </c>
      <c r="J672" s="46" t="s">
        <v>3</v>
      </c>
      <c r="K672" s="42" t="s">
        <v>1592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</row>
    <row r="673" spans="1:59" s="9" customFormat="1" ht="45" x14ac:dyDescent="0.25">
      <c r="B673" s="36">
        <v>686</v>
      </c>
      <c r="C673" s="36" t="s">
        <v>272</v>
      </c>
      <c r="D673" s="36" t="s">
        <v>110</v>
      </c>
      <c r="E673" s="52">
        <v>740</v>
      </c>
      <c r="F673" s="39">
        <v>740</v>
      </c>
      <c r="G673" s="47" t="s">
        <v>1661</v>
      </c>
      <c r="H673" s="41" t="s">
        <v>56</v>
      </c>
      <c r="I673" s="36" t="s">
        <v>24</v>
      </c>
      <c r="J673" s="46" t="s">
        <v>3</v>
      </c>
      <c r="K673" s="42" t="s">
        <v>1593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</row>
    <row r="674" spans="1:59" s="9" customFormat="1" ht="45" x14ac:dyDescent="0.25">
      <c r="B674" s="36">
        <v>687</v>
      </c>
      <c r="C674" s="36" t="s">
        <v>99</v>
      </c>
      <c r="D674" s="36" t="s">
        <v>108</v>
      </c>
      <c r="E674" s="52">
        <v>629.23</v>
      </c>
      <c r="F674" s="39">
        <v>640</v>
      </c>
      <c r="G674" s="47" t="s">
        <v>1661</v>
      </c>
      <c r="H674" s="41" t="s">
        <v>56</v>
      </c>
      <c r="I674" s="36" t="s">
        <v>24</v>
      </c>
      <c r="J674" s="46" t="s">
        <v>3</v>
      </c>
      <c r="K674" s="42" t="s">
        <v>1594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</row>
    <row r="675" spans="1:59" ht="45.75" x14ac:dyDescent="0.25">
      <c r="A675" s="1"/>
      <c r="B675" s="36">
        <v>688</v>
      </c>
      <c r="C675" s="36" t="s">
        <v>779</v>
      </c>
      <c r="D675" s="36" t="s">
        <v>1604</v>
      </c>
      <c r="E675" s="52">
        <v>200</v>
      </c>
      <c r="F675" s="39">
        <v>200</v>
      </c>
      <c r="G675" s="47" t="s">
        <v>1661</v>
      </c>
      <c r="H675" s="41" t="s">
        <v>56</v>
      </c>
      <c r="I675" s="36" t="s">
        <v>24</v>
      </c>
      <c r="J675" s="46" t="s">
        <v>6</v>
      </c>
      <c r="K675" s="42" t="s">
        <v>1595</v>
      </c>
    </row>
    <row r="676" spans="1:59" s="9" customFormat="1" ht="90" x14ac:dyDescent="0.25">
      <c r="B676" s="36">
        <v>689</v>
      </c>
      <c r="C676" s="36" t="s">
        <v>498</v>
      </c>
      <c r="D676" s="36" t="s">
        <v>1605</v>
      </c>
      <c r="E676" s="52" t="s">
        <v>578</v>
      </c>
      <c r="F676" s="39">
        <v>1500</v>
      </c>
      <c r="G676" s="47" t="s">
        <v>1661</v>
      </c>
      <c r="H676" s="41" t="s">
        <v>56</v>
      </c>
      <c r="I676" s="36" t="s">
        <v>24</v>
      </c>
      <c r="J676" s="51" t="s">
        <v>398</v>
      </c>
      <c r="K676" s="42" t="s">
        <v>1596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</row>
    <row r="677" spans="1:59" s="9" customFormat="1" ht="90" x14ac:dyDescent="0.25">
      <c r="B677" s="36">
        <v>690</v>
      </c>
      <c r="C677" s="36" t="s">
        <v>1606</v>
      </c>
      <c r="D677" s="36" t="s">
        <v>1607</v>
      </c>
      <c r="E677" s="52" t="s">
        <v>579</v>
      </c>
      <c r="F677" s="39">
        <v>1500</v>
      </c>
      <c r="G677" s="47" t="s">
        <v>1661</v>
      </c>
      <c r="H677" s="41" t="s">
        <v>56</v>
      </c>
      <c r="I677" s="36" t="s">
        <v>24</v>
      </c>
      <c r="J677" s="51" t="s">
        <v>398</v>
      </c>
      <c r="K677" s="42" t="s">
        <v>1597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</row>
    <row r="678" spans="1:59" s="9" customFormat="1" ht="90" x14ac:dyDescent="0.25">
      <c r="B678" s="36">
        <v>691</v>
      </c>
      <c r="C678" s="36" t="s">
        <v>1608</v>
      </c>
      <c r="D678" s="36" t="s">
        <v>1609</v>
      </c>
      <c r="E678" s="52">
        <v>50</v>
      </c>
      <c r="F678" s="39">
        <v>50</v>
      </c>
      <c r="G678" s="47" t="s">
        <v>1662</v>
      </c>
      <c r="H678" s="41" t="s">
        <v>56</v>
      </c>
      <c r="I678" s="36" t="s">
        <v>24</v>
      </c>
      <c r="J678" s="51" t="s">
        <v>398</v>
      </c>
      <c r="K678" s="42" t="s">
        <v>1663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</row>
    <row r="679" spans="1:59" s="9" customFormat="1" ht="45" x14ac:dyDescent="0.25">
      <c r="B679" s="36">
        <v>692</v>
      </c>
      <c r="C679" s="36" t="s">
        <v>277</v>
      </c>
      <c r="D679" s="36" t="s">
        <v>278</v>
      </c>
      <c r="E679" s="52" t="s">
        <v>1746</v>
      </c>
      <c r="F679" s="39">
        <v>2674.5</v>
      </c>
      <c r="G679" s="47" t="s">
        <v>1662</v>
      </c>
      <c r="H679" s="41" t="s">
        <v>56</v>
      </c>
      <c r="I679" s="36" t="s">
        <v>24</v>
      </c>
      <c r="J679" s="46" t="s">
        <v>3</v>
      </c>
      <c r="K679" s="42" t="s">
        <v>1664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</row>
    <row r="680" spans="1:59" s="9" customFormat="1" ht="45.75" x14ac:dyDescent="0.25">
      <c r="B680" s="36">
        <v>693</v>
      </c>
      <c r="C680" s="36" t="s">
        <v>1610</v>
      </c>
      <c r="D680" s="36" t="s">
        <v>1611</v>
      </c>
      <c r="E680" s="52">
        <v>100</v>
      </c>
      <c r="F680" s="39">
        <v>100</v>
      </c>
      <c r="G680" s="47" t="s">
        <v>1665</v>
      </c>
      <c r="H680" s="41" t="s">
        <v>56</v>
      </c>
      <c r="I680" s="36" t="s">
        <v>24</v>
      </c>
      <c r="J680" s="46" t="s">
        <v>6</v>
      </c>
      <c r="K680" s="42" t="s">
        <v>1666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</row>
    <row r="681" spans="1:59" s="9" customFormat="1" ht="45.75" x14ac:dyDescent="0.25">
      <c r="B681" s="36">
        <v>694</v>
      </c>
      <c r="C681" s="36" t="s">
        <v>627</v>
      </c>
      <c r="D681" s="36" t="s">
        <v>628</v>
      </c>
      <c r="E681" s="52">
        <v>30</v>
      </c>
      <c r="F681" s="39">
        <v>30</v>
      </c>
      <c r="G681" s="47" t="s">
        <v>1665</v>
      </c>
      <c r="H681" s="41" t="s">
        <v>56</v>
      </c>
      <c r="I681" s="36" t="s">
        <v>24</v>
      </c>
      <c r="J681" s="46" t="s">
        <v>6</v>
      </c>
      <c r="K681" s="42" t="s">
        <v>1667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</row>
    <row r="682" spans="1:59" s="9" customFormat="1" ht="45" x14ac:dyDescent="0.25">
      <c r="B682" s="36">
        <v>695</v>
      </c>
      <c r="C682" s="36" t="s">
        <v>1612</v>
      </c>
      <c r="D682" s="36" t="s">
        <v>1156</v>
      </c>
      <c r="E682" s="52" t="s">
        <v>1764</v>
      </c>
      <c r="F682" s="39">
        <v>2112.48</v>
      </c>
      <c r="G682" s="47" t="s">
        <v>1665</v>
      </c>
      <c r="H682" s="41" t="s">
        <v>56</v>
      </c>
      <c r="I682" s="36" t="s">
        <v>24</v>
      </c>
      <c r="J682" s="46" t="s">
        <v>3</v>
      </c>
      <c r="K682" s="42" t="s">
        <v>1668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</row>
    <row r="683" spans="1:59" s="9" customFormat="1" ht="45" x14ac:dyDescent="0.25">
      <c r="B683" s="36">
        <v>696</v>
      </c>
      <c r="C683" s="36" t="s">
        <v>1613</v>
      </c>
      <c r="D683" s="36" t="s">
        <v>1156</v>
      </c>
      <c r="E683" s="52">
        <v>600</v>
      </c>
      <c r="F683" s="39">
        <v>600</v>
      </c>
      <c r="G683" s="47" t="s">
        <v>1665</v>
      </c>
      <c r="H683" s="41" t="s">
        <v>56</v>
      </c>
      <c r="I683" s="36" t="s">
        <v>24</v>
      </c>
      <c r="J683" s="46" t="s">
        <v>3</v>
      </c>
      <c r="K683" s="42" t="s">
        <v>1669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</row>
    <row r="684" spans="1:59" s="9" customFormat="1" ht="45" x14ac:dyDescent="0.25">
      <c r="B684" s="36">
        <v>697</v>
      </c>
      <c r="C684" s="36" t="s">
        <v>744</v>
      </c>
      <c r="D684" s="36" t="s">
        <v>1156</v>
      </c>
      <c r="E684" s="52">
        <v>600</v>
      </c>
      <c r="F684" s="39">
        <v>600</v>
      </c>
      <c r="G684" s="47" t="s">
        <v>1665</v>
      </c>
      <c r="H684" s="41" t="s">
        <v>56</v>
      </c>
      <c r="I684" s="36" t="s">
        <v>24</v>
      </c>
      <c r="J684" s="46" t="s">
        <v>3</v>
      </c>
      <c r="K684" s="42" t="s">
        <v>1670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</row>
    <row r="685" spans="1:59" s="9" customFormat="1" ht="45" x14ac:dyDescent="0.25">
      <c r="B685" s="36">
        <v>699</v>
      </c>
      <c r="C685" s="52" t="s">
        <v>650</v>
      </c>
      <c r="D685" s="36" t="s">
        <v>1156</v>
      </c>
      <c r="E685" s="52" t="s">
        <v>1785</v>
      </c>
      <c r="F685" s="39">
        <v>6386.16</v>
      </c>
      <c r="G685" s="47" t="s">
        <v>1671</v>
      </c>
      <c r="H685" s="41" t="s">
        <v>56</v>
      </c>
      <c r="I685" s="36" t="s">
        <v>24</v>
      </c>
      <c r="J685" s="46" t="s">
        <v>3</v>
      </c>
      <c r="K685" s="42" t="s">
        <v>1672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</row>
    <row r="686" spans="1:59" s="9" customFormat="1" ht="45" x14ac:dyDescent="0.25">
      <c r="B686" s="36">
        <v>700</v>
      </c>
      <c r="C686" s="36" t="s">
        <v>1614</v>
      </c>
      <c r="D686" s="36" t="s">
        <v>1156</v>
      </c>
      <c r="E686" s="52" t="s">
        <v>1765</v>
      </c>
      <c r="F686" s="39">
        <v>3900</v>
      </c>
      <c r="G686" s="47" t="s">
        <v>1671</v>
      </c>
      <c r="H686" s="41" t="s">
        <v>56</v>
      </c>
      <c r="I686" s="36" t="s">
        <v>24</v>
      </c>
      <c r="J686" s="46" t="s">
        <v>3</v>
      </c>
      <c r="K686" s="42" t="s">
        <v>1673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</row>
    <row r="687" spans="1:59" s="9" customFormat="1" ht="45" x14ac:dyDescent="0.25">
      <c r="B687" s="36">
        <v>701</v>
      </c>
      <c r="C687" s="36" t="s">
        <v>1615</v>
      </c>
      <c r="D687" s="36" t="s">
        <v>108</v>
      </c>
      <c r="E687" s="52">
        <v>900</v>
      </c>
      <c r="F687" s="39">
        <v>1200</v>
      </c>
      <c r="G687" s="47" t="s">
        <v>1671</v>
      </c>
      <c r="H687" s="41" t="s">
        <v>56</v>
      </c>
      <c r="I687" s="36" t="s">
        <v>24</v>
      </c>
      <c r="J687" s="46" t="s">
        <v>3</v>
      </c>
      <c r="K687" s="42" t="s">
        <v>1674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</row>
    <row r="688" spans="1:59" s="9" customFormat="1" ht="45" x14ac:dyDescent="0.25">
      <c r="B688" s="36">
        <v>702</v>
      </c>
      <c r="C688" s="36" t="s">
        <v>1616</v>
      </c>
      <c r="D688" s="36" t="s">
        <v>108</v>
      </c>
      <c r="E688" s="52" t="s">
        <v>1204</v>
      </c>
      <c r="F688" s="39">
        <v>1500</v>
      </c>
      <c r="G688" s="47" t="s">
        <v>1671</v>
      </c>
      <c r="H688" s="41" t="s">
        <v>56</v>
      </c>
      <c r="I688" s="36" t="s">
        <v>24</v>
      </c>
      <c r="J688" s="46" t="s">
        <v>3</v>
      </c>
      <c r="K688" s="42" t="s">
        <v>1675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</row>
    <row r="689" spans="1:59" s="9" customFormat="1" ht="45" x14ac:dyDescent="0.25">
      <c r="B689" s="36">
        <v>703</v>
      </c>
      <c r="C689" s="36" t="s">
        <v>329</v>
      </c>
      <c r="D689" s="36" t="s">
        <v>108</v>
      </c>
      <c r="E689" s="52" t="s">
        <v>1771</v>
      </c>
      <c r="F689" s="39">
        <v>2400</v>
      </c>
      <c r="G689" s="47" t="s">
        <v>1671</v>
      </c>
      <c r="H689" s="41" t="s">
        <v>56</v>
      </c>
      <c r="I689" s="36" t="s">
        <v>24</v>
      </c>
      <c r="J689" s="46" t="s">
        <v>3</v>
      </c>
      <c r="K689" s="42" t="s">
        <v>1676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</row>
    <row r="690" spans="1:59" s="9" customFormat="1" ht="45" x14ac:dyDescent="0.25">
      <c r="B690" s="36">
        <v>704</v>
      </c>
      <c r="C690" s="36" t="s">
        <v>1617</v>
      </c>
      <c r="D690" s="36" t="s">
        <v>108</v>
      </c>
      <c r="E690" s="52">
        <v>627.4</v>
      </c>
      <c r="F690" s="39">
        <v>1500</v>
      </c>
      <c r="G690" s="47" t="s">
        <v>1671</v>
      </c>
      <c r="H690" s="41" t="s">
        <v>56</v>
      </c>
      <c r="I690" s="36" t="s">
        <v>24</v>
      </c>
      <c r="J690" s="46" t="s">
        <v>3</v>
      </c>
      <c r="K690" s="42" t="s">
        <v>1677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</row>
    <row r="691" spans="1:59" s="9" customFormat="1" ht="45" x14ac:dyDescent="0.25">
      <c r="B691" s="36">
        <v>705</v>
      </c>
      <c r="C691" s="36" t="s">
        <v>109</v>
      </c>
      <c r="D691" s="36" t="s">
        <v>110</v>
      </c>
      <c r="E691" s="52" t="s">
        <v>1755</v>
      </c>
      <c r="F691" s="39">
        <v>5100</v>
      </c>
      <c r="G691" s="47" t="s">
        <v>1671</v>
      </c>
      <c r="H691" s="41" t="s">
        <v>56</v>
      </c>
      <c r="I691" s="36" t="s">
        <v>24</v>
      </c>
      <c r="J691" s="46" t="s">
        <v>3</v>
      </c>
      <c r="K691" s="42" t="s">
        <v>1678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</row>
    <row r="692" spans="1:59" s="9" customFormat="1" ht="45" x14ac:dyDescent="0.25">
      <c r="B692" s="36">
        <v>706</v>
      </c>
      <c r="C692" s="36" t="s">
        <v>650</v>
      </c>
      <c r="D692" s="36" t="s">
        <v>93</v>
      </c>
      <c r="E692" s="52">
        <v>885</v>
      </c>
      <c r="F692" s="39">
        <v>885</v>
      </c>
      <c r="G692" s="47" t="s">
        <v>1679</v>
      </c>
      <c r="H692" s="41" t="s">
        <v>56</v>
      </c>
      <c r="I692" s="36" t="s">
        <v>24</v>
      </c>
      <c r="J692" s="46" t="s">
        <v>3</v>
      </c>
      <c r="K692" s="42" t="s">
        <v>1680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</row>
    <row r="693" spans="1:59" s="9" customFormat="1" ht="45" x14ac:dyDescent="0.25">
      <c r="B693" s="36">
        <v>707</v>
      </c>
      <c r="C693" s="36" t="s">
        <v>277</v>
      </c>
      <c r="D693" s="36" t="s">
        <v>278</v>
      </c>
      <c r="E693" s="52" t="s">
        <v>1781</v>
      </c>
      <c r="F693" s="39">
        <v>7840</v>
      </c>
      <c r="G693" s="47" t="s">
        <v>1679</v>
      </c>
      <c r="H693" s="41" t="s">
        <v>56</v>
      </c>
      <c r="I693" s="36" t="s">
        <v>24</v>
      </c>
      <c r="J693" s="46" t="s">
        <v>3</v>
      </c>
      <c r="K693" s="42" t="s">
        <v>1681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</row>
    <row r="694" spans="1:59" ht="45" x14ac:dyDescent="0.25">
      <c r="A694" s="1"/>
      <c r="B694" s="36">
        <v>708</v>
      </c>
      <c r="C694" s="36" t="s">
        <v>1618</v>
      </c>
      <c r="D694" s="36" t="s">
        <v>108</v>
      </c>
      <c r="E694" s="52">
        <v>191.8</v>
      </c>
      <c r="F694" s="39">
        <v>200</v>
      </c>
      <c r="G694" s="47" t="s">
        <v>1679</v>
      </c>
      <c r="H694" s="41" t="s">
        <v>56</v>
      </c>
      <c r="I694" s="36" t="s">
        <v>24</v>
      </c>
      <c r="J694" s="46" t="s">
        <v>3</v>
      </c>
      <c r="K694" s="42" t="s">
        <v>1682</v>
      </c>
    </row>
    <row r="695" spans="1:59" s="9" customFormat="1" ht="45" x14ac:dyDescent="0.25">
      <c r="B695" s="36">
        <v>709</v>
      </c>
      <c r="C695" s="36" t="s">
        <v>318</v>
      </c>
      <c r="D695" s="36" t="s">
        <v>278</v>
      </c>
      <c r="E695" s="52" t="s">
        <v>2302</v>
      </c>
      <c r="F695" s="39">
        <v>4524</v>
      </c>
      <c r="G695" s="47" t="s">
        <v>1679</v>
      </c>
      <c r="H695" s="41" t="s">
        <v>56</v>
      </c>
      <c r="I695" s="36" t="s">
        <v>24</v>
      </c>
      <c r="J695" s="46" t="s">
        <v>3</v>
      </c>
      <c r="K695" s="42" t="s">
        <v>1683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</row>
    <row r="696" spans="1:59" s="9" customFormat="1" ht="45" x14ac:dyDescent="0.25">
      <c r="B696" s="36">
        <v>710</v>
      </c>
      <c r="C696" s="36" t="s">
        <v>1619</v>
      </c>
      <c r="D696" s="36" t="s">
        <v>108</v>
      </c>
      <c r="E696" s="52">
        <v>55.5</v>
      </c>
      <c r="F696" s="39">
        <v>60</v>
      </c>
      <c r="G696" s="47" t="s">
        <v>1679</v>
      </c>
      <c r="H696" s="41" t="s">
        <v>56</v>
      </c>
      <c r="I696" s="36" t="s">
        <v>24</v>
      </c>
      <c r="J696" s="46" t="s">
        <v>3</v>
      </c>
      <c r="K696" s="42" t="s">
        <v>1684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</row>
    <row r="697" spans="1:59" s="9" customFormat="1" ht="45" x14ac:dyDescent="0.25">
      <c r="B697" s="36">
        <v>711</v>
      </c>
      <c r="C697" s="36" t="s">
        <v>893</v>
      </c>
      <c r="D697" s="36" t="s">
        <v>108</v>
      </c>
      <c r="E697" s="52">
        <v>228.92</v>
      </c>
      <c r="F697" s="39">
        <v>240</v>
      </c>
      <c r="G697" s="47" t="s">
        <v>1679</v>
      </c>
      <c r="H697" s="41" t="s">
        <v>56</v>
      </c>
      <c r="I697" s="36" t="s">
        <v>24</v>
      </c>
      <c r="J697" s="46" t="s">
        <v>3</v>
      </c>
      <c r="K697" s="42" t="s">
        <v>1685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</row>
    <row r="698" spans="1:59" s="9" customFormat="1" ht="45" x14ac:dyDescent="0.25">
      <c r="B698" s="36">
        <v>712</v>
      </c>
      <c r="C698" s="36" t="s">
        <v>1620</v>
      </c>
      <c r="D698" s="36" t="s">
        <v>108</v>
      </c>
      <c r="E698" s="36">
        <v>56.1</v>
      </c>
      <c r="F698" s="39">
        <v>240</v>
      </c>
      <c r="G698" s="47" t="s">
        <v>1679</v>
      </c>
      <c r="H698" s="41" t="s">
        <v>56</v>
      </c>
      <c r="I698" s="36" t="s">
        <v>24</v>
      </c>
      <c r="J698" s="46" t="s">
        <v>3</v>
      </c>
      <c r="K698" s="42" t="s">
        <v>1686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</row>
    <row r="699" spans="1:59" s="9" customFormat="1" ht="45" x14ac:dyDescent="0.25">
      <c r="B699" s="36">
        <v>713</v>
      </c>
      <c r="C699" s="36" t="s">
        <v>886</v>
      </c>
      <c r="D699" s="36" t="s">
        <v>232</v>
      </c>
      <c r="E699" s="36" t="s">
        <v>1500</v>
      </c>
      <c r="F699" s="39">
        <v>3500</v>
      </c>
      <c r="G699" s="47" t="s">
        <v>1679</v>
      </c>
      <c r="H699" s="41" t="s">
        <v>56</v>
      </c>
      <c r="I699" s="36" t="s">
        <v>24</v>
      </c>
      <c r="J699" s="46" t="s">
        <v>3</v>
      </c>
      <c r="K699" s="42" t="s">
        <v>1687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</row>
    <row r="700" spans="1:59" s="9" customFormat="1" ht="45" x14ac:dyDescent="0.25">
      <c r="B700" s="36">
        <v>714</v>
      </c>
      <c r="C700" s="36" t="s">
        <v>272</v>
      </c>
      <c r="D700" s="36" t="s">
        <v>110</v>
      </c>
      <c r="E700" s="36" t="s">
        <v>1795</v>
      </c>
      <c r="F700" s="39">
        <v>2780</v>
      </c>
      <c r="G700" s="47" t="s">
        <v>1679</v>
      </c>
      <c r="H700" s="41" t="s">
        <v>56</v>
      </c>
      <c r="I700" s="36" t="s">
        <v>24</v>
      </c>
      <c r="J700" s="46" t="s">
        <v>3</v>
      </c>
      <c r="K700" s="42" t="s">
        <v>1688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</row>
    <row r="701" spans="1:59" s="9" customFormat="1" ht="45" x14ac:dyDescent="0.25">
      <c r="B701" s="36">
        <v>715</v>
      </c>
      <c r="C701" s="36" t="s">
        <v>1621</v>
      </c>
      <c r="D701" s="36" t="s">
        <v>1156</v>
      </c>
      <c r="E701" s="36">
        <v>390</v>
      </c>
      <c r="F701" s="39">
        <v>390</v>
      </c>
      <c r="G701" s="47" t="s">
        <v>1689</v>
      </c>
      <c r="H701" s="41" t="s">
        <v>56</v>
      </c>
      <c r="I701" s="36" t="s">
        <v>24</v>
      </c>
      <c r="J701" s="46" t="s">
        <v>3</v>
      </c>
      <c r="K701" s="42" t="s">
        <v>1690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</row>
    <row r="702" spans="1:59" s="9" customFormat="1" ht="45" x14ac:dyDescent="0.25">
      <c r="B702" s="36">
        <v>716</v>
      </c>
      <c r="C702" s="36" t="s">
        <v>1346</v>
      </c>
      <c r="D702" s="36" t="s">
        <v>1156</v>
      </c>
      <c r="E702" s="36">
        <v>810</v>
      </c>
      <c r="F702" s="39">
        <v>810</v>
      </c>
      <c r="G702" s="47" t="s">
        <v>1689</v>
      </c>
      <c r="H702" s="41" t="s">
        <v>56</v>
      </c>
      <c r="I702" s="36" t="s">
        <v>24</v>
      </c>
      <c r="J702" s="46" t="s">
        <v>3</v>
      </c>
      <c r="K702" s="42" t="s">
        <v>1691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</row>
    <row r="703" spans="1:59" s="9" customFormat="1" ht="45" x14ac:dyDescent="0.25">
      <c r="B703" s="36">
        <v>717</v>
      </c>
      <c r="C703" s="36" t="s">
        <v>189</v>
      </c>
      <c r="D703" s="36" t="s">
        <v>1156</v>
      </c>
      <c r="E703" s="36">
        <v>540</v>
      </c>
      <c r="F703" s="39">
        <v>540</v>
      </c>
      <c r="G703" s="47" t="s">
        <v>1689</v>
      </c>
      <c r="H703" s="41" t="s">
        <v>56</v>
      </c>
      <c r="I703" s="36" t="s">
        <v>24</v>
      </c>
      <c r="J703" s="46" t="s">
        <v>3</v>
      </c>
      <c r="K703" s="42" t="s">
        <v>1692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</row>
    <row r="704" spans="1:59" s="9" customFormat="1" ht="45" x14ac:dyDescent="0.25">
      <c r="B704" s="36">
        <v>718</v>
      </c>
      <c r="C704" s="36" t="s">
        <v>1622</v>
      </c>
      <c r="D704" s="36" t="s">
        <v>108</v>
      </c>
      <c r="E704" s="36">
        <v>49.5</v>
      </c>
      <c r="F704" s="39">
        <v>50</v>
      </c>
      <c r="G704" s="47" t="s">
        <v>1693</v>
      </c>
      <c r="H704" s="41" t="s">
        <v>56</v>
      </c>
      <c r="I704" s="36" t="s">
        <v>24</v>
      </c>
      <c r="J704" s="46" t="s">
        <v>3</v>
      </c>
      <c r="K704" s="42" t="s">
        <v>1694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</row>
    <row r="705" spans="1:59" s="9" customFormat="1" ht="45" x14ac:dyDescent="0.25">
      <c r="B705" s="36">
        <v>719</v>
      </c>
      <c r="C705" s="36" t="s">
        <v>265</v>
      </c>
      <c r="D705" s="36" t="s">
        <v>110</v>
      </c>
      <c r="E705" s="36">
        <v>430</v>
      </c>
      <c r="F705" s="39">
        <v>430</v>
      </c>
      <c r="G705" s="47" t="s">
        <v>1693</v>
      </c>
      <c r="H705" s="41" t="s">
        <v>56</v>
      </c>
      <c r="I705" s="36" t="s">
        <v>24</v>
      </c>
      <c r="J705" s="46" t="s">
        <v>3</v>
      </c>
      <c r="K705" s="42" t="s">
        <v>1695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</row>
    <row r="706" spans="1:59" s="9" customFormat="1" ht="45" x14ac:dyDescent="0.25">
      <c r="B706" s="36">
        <v>720</v>
      </c>
      <c r="C706" s="36" t="s">
        <v>273</v>
      </c>
      <c r="D706" s="36" t="s">
        <v>232</v>
      </c>
      <c r="E706" s="36">
        <v>640</v>
      </c>
      <c r="F706" s="39">
        <v>640</v>
      </c>
      <c r="G706" s="47" t="s">
        <v>1693</v>
      </c>
      <c r="H706" s="41" t="s">
        <v>56</v>
      </c>
      <c r="I706" s="36" t="s">
        <v>24</v>
      </c>
      <c r="J706" s="46" t="s">
        <v>3</v>
      </c>
      <c r="K706" s="42" t="s">
        <v>1696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</row>
    <row r="707" spans="1:59" s="9" customFormat="1" ht="45" x14ac:dyDescent="0.25">
      <c r="B707" s="36">
        <v>721</v>
      </c>
      <c r="C707" s="36" t="s">
        <v>470</v>
      </c>
      <c r="D707" s="36" t="s">
        <v>1156</v>
      </c>
      <c r="E707" s="36">
        <v>563.86</v>
      </c>
      <c r="F707" s="39">
        <v>563.87</v>
      </c>
      <c r="G707" s="47" t="s">
        <v>1693</v>
      </c>
      <c r="H707" s="41" t="s">
        <v>56</v>
      </c>
      <c r="I707" s="36" t="s">
        <v>24</v>
      </c>
      <c r="J707" s="46" t="s">
        <v>3</v>
      </c>
      <c r="K707" s="42" t="s">
        <v>1697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</row>
    <row r="708" spans="1:59" s="9" customFormat="1" ht="45" x14ac:dyDescent="0.25">
      <c r="B708" s="36">
        <v>722</v>
      </c>
      <c r="C708" s="36" t="s">
        <v>1623</v>
      </c>
      <c r="D708" s="36" t="s">
        <v>108</v>
      </c>
      <c r="E708" s="36">
        <v>299.75</v>
      </c>
      <c r="F708" s="39">
        <v>300</v>
      </c>
      <c r="G708" s="47" t="s">
        <v>1693</v>
      </c>
      <c r="H708" s="41" t="s">
        <v>56</v>
      </c>
      <c r="I708" s="36" t="s">
        <v>24</v>
      </c>
      <c r="J708" s="46" t="s">
        <v>3</v>
      </c>
      <c r="K708" s="42" t="s">
        <v>1698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</row>
    <row r="709" spans="1:59" ht="45" x14ac:dyDescent="0.25">
      <c r="A709" s="1"/>
      <c r="B709" s="36">
        <v>723</v>
      </c>
      <c r="C709" s="36" t="s">
        <v>1624</v>
      </c>
      <c r="D709" s="36" t="s">
        <v>108</v>
      </c>
      <c r="E709" s="36">
        <v>180</v>
      </c>
      <c r="F709" s="39">
        <v>240</v>
      </c>
      <c r="G709" s="47" t="s">
        <v>1693</v>
      </c>
      <c r="H709" s="41" t="s">
        <v>56</v>
      </c>
      <c r="I709" s="36" t="s">
        <v>24</v>
      </c>
      <c r="J709" s="46" t="s">
        <v>3</v>
      </c>
      <c r="K709" s="42" t="s">
        <v>1699</v>
      </c>
    </row>
    <row r="710" spans="1:59" s="9" customFormat="1" ht="45" x14ac:dyDescent="0.25">
      <c r="B710" s="36">
        <v>724</v>
      </c>
      <c r="C710" s="52" t="s">
        <v>1625</v>
      </c>
      <c r="D710" s="36" t="s">
        <v>1626</v>
      </c>
      <c r="E710" s="36">
        <f>30000</f>
        <v>30000</v>
      </c>
      <c r="F710" s="39">
        <v>115000</v>
      </c>
      <c r="G710" s="47" t="s">
        <v>1700</v>
      </c>
      <c r="H710" s="41" t="s">
        <v>56</v>
      </c>
      <c r="I710" s="36" t="s">
        <v>9</v>
      </c>
      <c r="J710" s="46" t="s">
        <v>1701</v>
      </c>
      <c r="K710" s="4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</row>
    <row r="711" spans="1:59" x14ac:dyDescent="0.25">
      <c r="A711" s="1"/>
      <c r="B711" s="36">
        <v>725</v>
      </c>
      <c r="C711" s="36" t="s">
        <v>929</v>
      </c>
      <c r="D711" s="36" t="s">
        <v>928</v>
      </c>
      <c r="E711" s="36">
        <v>440</v>
      </c>
      <c r="F711" s="39">
        <v>440</v>
      </c>
      <c r="G711" s="47" t="s">
        <v>1702</v>
      </c>
      <c r="H711" s="41" t="s">
        <v>56</v>
      </c>
      <c r="I711" s="36" t="s">
        <v>7</v>
      </c>
      <c r="J711" s="46"/>
      <c r="K711" s="42" t="s">
        <v>1703</v>
      </c>
    </row>
    <row r="712" spans="1:59" s="9" customFormat="1" ht="90" x14ac:dyDescent="0.25">
      <c r="B712" s="36">
        <v>726</v>
      </c>
      <c r="C712" s="36" t="s">
        <v>1627</v>
      </c>
      <c r="D712" s="36" t="s">
        <v>1628</v>
      </c>
      <c r="E712" s="36" t="s">
        <v>1774</v>
      </c>
      <c r="F712" s="39">
        <v>2177</v>
      </c>
      <c r="G712" s="47" t="s">
        <v>1702</v>
      </c>
      <c r="H712" s="41" t="s">
        <v>56</v>
      </c>
      <c r="I712" s="36" t="s">
        <v>24</v>
      </c>
      <c r="J712" s="51" t="s">
        <v>398</v>
      </c>
      <c r="K712" s="42" t="s">
        <v>1704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</row>
    <row r="713" spans="1:59" s="9" customFormat="1" ht="45.75" x14ac:dyDescent="0.25">
      <c r="B713" s="36">
        <v>727</v>
      </c>
      <c r="C713" s="36" t="s">
        <v>1629</v>
      </c>
      <c r="D713" s="36" t="s">
        <v>1630</v>
      </c>
      <c r="E713" s="36">
        <v>50</v>
      </c>
      <c r="F713" s="39">
        <v>50</v>
      </c>
      <c r="G713" s="47" t="s">
        <v>1705</v>
      </c>
      <c r="H713" s="41" t="s">
        <v>1706</v>
      </c>
      <c r="I713" s="36" t="s">
        <v>24</v>
      </c>
      <c r="J713" s="46" t="s">
        <v>6</v>
      </c>
      <c r="K713" s="67" t="s">
        <v>1707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</row>
    <row r="714" spans="1:59" s="9" customFormat="1" ht="22.5" x14ac:dyDescent="0.25">
      <c r="B714" s="36">
        <v>728</v>
      </c>
      <c r="C714" s="36" t="s">
        <v>1631</v>
      </c>
      <c r="D714" s="36" t="s">
        <v>1632</v>
      </c>
      <c r="E714" s="36" t="s">
        <v>2320</v>
      </c>
      <c r="F714" s="39">
        <v>1274.8499999999999</v>
      </c>
      <c r="G714" s="47" t="s">
        <v>1705</v>
      </c>
      <c r="H714" s="41" t="s">
        <v>56</v>
      </c>
      <c r="I714" s="36" t="s">
        <v>7</v>
      </c>
      <c r="J714" s="46"/>
      <c r="K714" s="42" t="s">
        <v>1708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</row>
    <row r="715" spans="1:59" ht="22.5" x14ac:dyDescent="0.25">
      <c r="A715" s="1"/>
      <c r="B715" s="36">
        <v>729</v>
      </c>
      <c r="C715" s="36" t="s">
        <v>654</v>
      </c>
      <c r="D715" s="36" t="s">
        <v>928</v>
      </c>
      <c r="E715" s="36" t="s">
        <v>1775</v>
      </c>
      <c r="F715" s="39">
        <v>1000</v>
      </c>
      <c r="G715" s="47" t="s">
        <v>1705</v>
      </c>
      <c r="H715" s="41" t="s">
        <v>56</v>
      </c>
      <c r="I715" s="36" t="s">
        <v>7</v>
      </c>
      <c r="J715" s="46"/>
      <c r="K715" s="42" t="s">
        <v>1709</v>
      </c>
    </row>
    <row r="716" spans="1:59" s="9" customFormat="1" ht="45" x14ac:dyDescent="0.25">
      <c r="B716" s="36">
        <v>730</v>
      </c>
      <c r="C716" s="36" t="s">
        <v>272</v>
      </c>
      <c r="D716" s="36" t="s">
        <v>110</v>
      </c>
      <c r="E716" s="36" t="s">
        <v>1790</v>
      </c>
      <c r="F716" s="39">
        <v>2730</v>
      </c>
      <c r="G716" s="47" t="s">
        <v>1705</v>
      </c>
      <c r="H716" s="41" t="s">
        <v>56</v>
      </c>
      <c r="I716" s="36" t="s">
        <v>24</v>
      </c>
      <c r="J716" s="46" t="s">
        <v>3</v>
      </c>
      <c r="K716" s="42" t="s">
        <v>1710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</row>
    <row r="717" spans="1:59" ht="45" x14ac:dyDescent="0.25">
      <c r="A717" s="1"/>
      <c r="B717" s="36">
        <v>731</v>
      </c>
      <c r="C717" s="36" t="s">
        <v>861</v>
      </c>
      <c r="D717" s="36" t="s">
        <v>232</v>
      </c>
      <c r="E717" s="36" t="s">
        <v>1786</v>
      </c>
      <c r="F717" s="39">
        <v>2263</v>
      </c>
      <c r="G717" s="47" t="s">
        <v>1705</v>
      </c>
      <c r="H717" s="41" t="s">
        <v>56</v>
      </c>
      <c r="I717" s="36" t="s">
        <v>24</v>
      </c>
      <c r="J717" s="46" t="s">
        <v>3</v>
      </c>
      <c r="K717" s="42" t="s">
        <v>1711</v>
      </c>
    </row>
    <row r="718" spans="1:59" s="9" customFormat="1" ht="45" x14ac:dyDescent="0.25">
      <c r="B718" s="36">
        <v>732</v>
      </c>
      <c r="C718" s="36" t="s">
        <v>680</v>
      </c>
      <c r="D718" s="36" t="s">
        <v>1633</v>
      </c>
      <c r="E718" s="36">
        <f>4956+5133+59588.82+17000+73337+26999.58</f>
        <v>187014.40000000002</v>
      </c>
      <c r="F718" s="39" t="s">
        <v>2992</v>
      </c>
      <c r="G718" s="47" t="s">
        <v>1705</v>
      </c>
      <c r="H718" s="41" t="s">
        <v>28</v>
      </c>
      <c r="I718" s="36" t="s">
        <v>24</v>
      </c>
      <c r="J718" s="46" t="s">
        <v>3</v>
      </c>
      <c r="K718" s="42" t="s">
        <v>1712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</row>
    <row r="719" spans="1:59" s="9" customFormat="1" ht="45" x14ac:dyDescent="0.25">
      <c r="B719" s="36">
        <v>733</v>
      </c>
      <c r="C719" s="52" t="s">
        <v>328</v>
      </c>
      <c r="D719" s="52" t="s">
        <v>108</v>
      </c>
      <c r="E719" s="36">
        <v>150</v>
      </c>
      <c r="F719" s="61">
        <v>150</v>
      </c>
      <c r="G719" s="68" t="s">
        <v>1713</v>
      </c>
      <c r="H719" s="69" t="s">
        <v>56</v>
      </c>
      <c r="I719" s="36" t="s">
        <v>24</v>
      </c>
      <c r="J719" s="46" t="s">
        <v>3</v>
      </c>
      <c r="K719" s="42" t="s">
        <v>1714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</row>
    <row r="720" spans="1:59" s="9" customFormat="1" ht="45" x14ac:dyDescent="0.25">
      <c r="B720" s="36">
        <v>734</v>
      </c>
      <c r="C720" s="52" t="s">
        <v>328</v>
      </c>
      <c r="D720" s="52" t="s">
        <v>108</v>
      </c>
      <c r="E720" s="36">
        <v>180</v>
      </c>
      <c r="F720" s="61">
        <v>180</v>
      </c>
      <c r="G720" s="68" t="s">
        <v>1713</v>
      </c>
      <c r="H720" s="69" t="s">
        <v>56</v>
      </c>
      <c r="I720" s="36" t="s">
        <v>24</v>
      </c>
      <c r="J720" s="46" t="s">
        <v>3</v>
      </c>
      <c r="K720" s="42" t="s">
        <v>1715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</row>
    <row r="721" spans="1:59" s="9" customFormat="1" ht="45" x14ac:dyDescent="0.25">
      <c r="B721" s="36">
        <v>735</v>
      </c>
      <c r="C721" s="52" t="s">
        <v>1634</v>
      </c>
      <c r="D721" s="52" t="s">
        <v>108</v>
      </c>
      <c r="E721" s="36">
        <v>150</v>
      </c>
      <c r="F721" s="61">
        <v>150</v>
      </c>
      <c r="G721" s="68" t="s">
        <v>1713</v>
      </c>
      <c r="H721" s="69" t="s">
        <v>56</v>
      </c>
      <c r="I721" s="36" t="s">
        <v>24</v>
      </c>
      <c r="J721" s="46" t="s">
        <v>3</v>
      </c>
      <c r="K721" s="42" t="s">
        <v>1716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</row>
    <row r="722" spans="1:59" ht="45" x14ac:dyDescent="0.25">
      <c r="A722" s="1"/>
      <c r="B722" s="36">
        <v>736</v>
      </c>
      <c r="C722" s="52" t="s">
        <v>948</v>
      </c>
      <c r="D722" s="52" t="s">
        <v>108</v>
      </c>
      <c r="E722" s="36">
        <v>180</v>
      </c>
      <c r="F722" s="61">
        <v>180</v>
      </c>
      <c r="G722" s="68" t="s">
        <v>1713</v>
      </c>
      <c r="H722" s="69" t="s">
        <v>56</v>
      </c>
      <c r="I722" s="36" t="s">
        <v>24</v>
      </c>
      <c r="J722" s="46" t="s">
        <v>3</v>
      </c>
      <c r="K722" s="42" t="s">
        <v>1717</v>
      </c>
    </row>
    <row r="723" spans="1:59" s="9" customFormat="1" ht="45" x14ac:dyDescent="0.25">
      <c r="B723" s="36">
        <v>737</v>
      </c>
      <c r="C723" s="52" t="s">
        <v>1635</v>
      </c>
      <c r="D723" s="52" t="s">
        <v>1156</v>
      </c>
      <c r="E723" s="36">
        <v>450</v>
      </c>
      <c r="F723" s="61">
        <v>450</v>
      </c>
      <c r="G723" s="68" t="s">
        <v>1713</v>
      </c>
      <c r="H723" s="69" t="s">
        <v>56</v>
      </c>
      <c r="I723" s="36" t="s">
        <v>24</v>
      </c>
      <c r="J723" s="46" t="s">
        <v>3</v>
      </c>
      <c r="K723" s="42" t="s">
        <v>1718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</row>
    <row r="724" spans="1:59" s="9" customFormat="1" ht="90" x14ac:dyDescent="0.25">
      <c r="B724" s="36">
        <v>738</v>
      </c>
      <c r="C724" s="52" t="s">
        <v>1636</v>
      </c>
      <c r="D724" s="52" t="s">
        <v>671</v>
      </c>
      <c r="E724" s="36" t="s">
        <v>2595</v>
      </c>
      <c r="F724" s="61">
        <v>15240</v>
      </c>
      <c r="G724" s="68" t="s">
        <v>1713</v>
      </c>
      <c r="H724" s="69" t="s">
        <v>56</v>
      </c>
      <c r="I724" s="36" t="s">
        <v>24</v>
      </c>
      <c r="J724" s="51" t="s">
        <v>398</v>
      </c>
      <c r="K724" s="42" t="s">
        <v>1719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</row>
    <row r="725" spans="1:59" s="9" customFormat="1" ht="45" x14ac:dyDescent="0.25">
      <c r="B725" s="36">
        <v>739</v>
      </c>
      <c r="C725" s="52" t="s">
        <v>1637</v>
      </c>
      <c r="D725" s="52" t="s">
        <v>232</v>
      </c>
      <c r="E725" s="36" t="s">
        <v>1780</v>
      </c>
      <c r="F725" s="61">
        <v>1312.5</v>
      </c>
      <c r="G725" s="68" t="s">
        <v>1720</v>
      </c>
      <c r="H725" s="69" t="s">
        <v>56</v>
      </c>
      <c r="I725" s="36" t="s">
        <v>24</v>
      </c>
      <c r="J725" s="46" t="s">
        <v>3</v>
      </c>
      <c r="K725" s="42" t="s">
        <v>1721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</row>
    <row r="726" spans="1:59" s="9" customFormat="1" ht="45" x14ac:dyDescent="0.25">
      <c r="B726" s="36">
        <v>740</v>
      </c>
      <c r="C726" s="52" t="s">
        <v>265</v>
      </c>
      <c r="D726" s="52" t="s">
        <v>110</v>
      </c>
      <c r="E726" s="36">
        <v>640</v>
      </c>
      <c r="F726" s="61">
        <v>640</v>
      </c>
      <c r="G726" s="68" t="s">
        <v>1720</v>
      </c>
      <c r="H726" s="69" t="s">
        <v>56</v>
      </c>
      <c r="I726" s="36" t="s">
        <v>24</v>
      </c>
      <c r="J726" s="46" t="s">
        <v>3</v>
      </c>
      <c r="K726" s="42" t="s">
        <v>1722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</row>
    <row r="727" spans="1:59" s="9" customFormat="1" ht="90" x14ac:dyDescent="0.25">
      <c r="B727" s="36">
        <v>741</v>
      </c>
      <c r="C727" s="52" t="s">
        <v>1638</v>
      </c>
      <c r="D727" s="52" t="s">
        <v>338</v>
      </c>
      <c r="E727" s="36" t="s">
        <v>1779</v>
      </c>
      <c r="F727" s="61">
        <v>37500</v>
      </c>
      <c r="G727" s="68" t="s">
        <v>1720</v>
      </c>
      <c r="H727" s="69" t="s">
        <v>56</v>
      </c>
      <c r="I727" s="36" t="s">
        <v>24</v>
      </c>
      <c r="J727" s="51" t="s">
        <v>398</v>
      </c>
      <c r="K727" s="42" t="s">
        <v>1723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</row>
    <row r="728" spans="1:59" s="9" customFormat="1" ht="90" x14ac:dyDescent="0.25">
      <c r="B728" s="36">
        <v>742</v>
      </c>
      <c r="C728" s="52" t="s">
        <v>345</v>
      </c>
      <c r="D728" s="52" t="s">
        <v>1639</v>
      </c>
      <c r="E728" s="36" t="s">
        <v>1784</v>
      </c>
      <c r="F728" s="61" t="s">
        <v>1784</v>
      </c>
      <c r="G728" s="68" t="s">
        <v>1724</v>
      </c>
      <c r="H728" s="69" t="s">
        <v>56</v>
      </c>
      <c r="I728" s="36" t="s">
        <v>24</v>
      </c>
      <c r="J728" s="51" t="s">
        <v>398</v>
      </c>
      <c r="K728" s="42" t="s">
        <v>1725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</row>
    <row r="729" spans="1:59" s="9" customFormat="1" ht="45" x14ac:dyDescent="0.25">
      <c r="B729" s="36">
        <v>743</v>
      </c>
      <c r="C729" s="52" t="s">
        <v>1640</v>
      </c>
      <c r="D729" s="52" t="s">
        <v>108</v>
      </c>
      <c r="E729" s="36">
        <v>515</v>
      </c>
      <c r="F729" s="61">
        <v>750</v>
      </c>
      <c r="G729" s="68" t="s">
        <v>1726</v>
      </c>
      <c r="H729" s="69" t="s">
        <v>56</v>
      </c>
      <c r="I729" s="36" t="s">
        <v>24</v>
      </c>
      <c r="J729" s="46" t="s">
        <v>3</v>
      </c>
      <c r="K729" s="42" t="s">
        <v>1727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</row>
    <row r="730" spans="1:59" s="9" customFormat="1" ht="45" x14ac:dyDescent="0.25">
      <c r="B730" s="36">
        <v>744</v>
      </c>
      <c r="C730" s="52" t="s">
        <v>1641</v>
      </c>
      <c r="D730" s="52" t="s">
        <v>108</v>
      </c>
      <c r="E730" s="36">
        <v>945</v>
      </c>
      <c r="F730" s="61">
        <v>1200</v>
      </c>
      <c r="G730" s="68" t="s">
        <v>1726</v>
      </c>
      <c r="H730" s="69" t="s">
        <v>56</v>
      </c>
      <c r="I730" s="36" t="s">
        <v>24</v>
      </c>
      <c r="J730" s="46" t="s">
        <v>3</v>
      </c>
      <c r="K730" s="42" t="s">
        <v>1728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</row>
    <row r="731" spans="1:59" s="9" customFormat="1" ht="45" x14ac:dyDescent="0.25">
      <c r="B731" s="36">
        <v>746</v>
      </c>
      <c r="C731" s="52" t="s">
        <v>1642</v>
      </c>
      <c r="D731" s="52" t="s">
        <v>108</v>
      </c>
      <c r="E731" s="36" t="s">
        <v>1782</v>
      </c>
      <c r="F731" s="61">
        <v>5700</v>
      </c>
      <c r="G731" s="68" t="s">
        <v>1726</v>
      </c>
      <c r="H731" s="69" t="s">
        <v>56</v>
      </c>
      <c r="I731" s="36" t="s">
        <v>24</v>
      </c>
      <c r="J731" s="46" t="s">
        <v>3</v>
      </c>
      <c r="K731" s="42" t="s">
        <v>1729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</row>
    <row r="732" spans="1:59" s="9" customFormat="1" ht="45" x14ac:dyDescent="0.25">
      <c r="B732" s="36">
        <v>747</v>
      </c>
      <c r="C732" s="52" t="s">
        <v>1642</v>
      </c>
      <c r="D732" s="36" t="s">
        <v>1156</v>
      </c>
      <c r="E732" s="36" t="s">
        <v>1204</v>
      </c>
      <c r="F732" s="39">
        <v>1200</v>
      </c>
      <c r="G732" s="68" t="s">
        <v>1726</v>
      </c>
      <c r="H732" s="69" t="s">
        <v>56</v>
      </c>
      <c r="I732" s="36" t="s">
        <v>24</v>
      </c>
      <c r="J732" s="46" t="s">
        <v>3</v>
      </c>
      <c r="K732" s="42" t="s">
        <v>1730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</row>
    <row r="733" spans="1:59" s="9" customFormat="1" ht="45" x14ac:dyDescent="0.25">
      <c r="B733" s="36">
        <v>748</v>
      </c>
      <c r="C733" s="36" t="s">
        <v>109</v>
      </c>
      <c r="D733" s="36" t="s">
        <v>110</v>
      </c>
      <c r="E733" s="36" t="s">
        <v>1492</v>
      </c>
      <c r="F733" s="39">
        <v>5250</v>
      </c>
      <c r="G733" s="68" t="s">
        <v>1726</v>
      </c>
      <c r="H733" s="69" t="s">
        <v>56</v>
      </c>
      <c r="I733" s="36" t="s">
        <v>24</v>
      </c>
      <c r="J733" s="46" t="s">
        <v>3</v>
      </c>
      <c r="K733" s="42" t="s">
        <v>1731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</row>
    <row r="734" spans="1:59" s="9" customFormat="1" ht="45" x14ac:dyDescent="0.25">
      <c r="B734" s="36">
        <v>749</v>
      </c>
      <c r="C734" s="36" t="s">
        <v>265</v>
      </c>
      <c r="D734" s="36" t="s">
        <v>110</v>
      </c>
      <c r="E734" s="36">
        <v>840</v>
      </c>
      <c r="F734" s="39">
        <v>840</v>
      </c>
      <c r="G734" s="68" t="s">
        <v>1726</v>
      </c>
      <c r="H734" s="69" t="s">
        <v>56</v>
      </c>
      <c r="I734" s="36" t="s">
        <v>24</v>
      </c>
      <c r="J734" s="46" t="s">
        <v>3</v>
      </c>
      <c r="K734" s="42" t="s">
        <v>1732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</row>
    <row r="735" spans="1:59" s="9" customFormat="1" ht="45" x14ac:dyDescent="0.25">
      <c r="B735" s="36">
        <v>750</v>
      </c>
      <c r="C735" s="36" t="s">
        <v>272</v>
      </c>
      <c r="D735" s="36" t="s">
        <v>110</v>
      </c>
      <c r="E735" s="36" t="s">
        <v>1787</v>
      </c>
      <c r="F735" s="39">
        <v>4720</v>
      </c>
      <c r="G735" s="68" t="s">
        <v>1733</v>
      </c>
      <c r="H735" s="69" t="s">
        <v>56</v>
      </c>
      <c r="I735" s="52" t="s">
        <v>24</v>
      </c>
      <c r="J735" s="46" t="s">
        <v>3</v>
      </c>
      <c r="K735" s="42" t="s">
        <v>1734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</row>
    <row r="736" spans="1:59" s="9" customFormat="1" ht="45" x14ac:dyDescent="0.25">
      <c r="B736" s="36">
        <v>751</v>
      </c>
      <c r="C736" s="36" t="s">
        <v>99</v>
      </c>
      <c r="D736" s="36" t="s">
        <v>1156</v>
      </c>
      <c r="E736" s="36" t="s">
        <v>2145</v>
      </c>
      <c r="F736" s="39">
        <v>4440.8</v>
      </c>
      <c r="G736" s="68" t="s">
        <v>1733</v>
      </c>
      <c r="H736" s="69" t="s">
        <v>56</v>
      </c>
      <c r="I736" s="52" t="s">
        <v>24</v>
      </c>
      <c r="J736" s="46" t="s">
        <v>3</v>
      </c>
      <c r="K736" s="42" t="s">
        <v>1735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</row>
    <row r="737" spans="2:59" s="9" customFormat="1" ht="45" x14ac:dyDescent="0.25">
      <c r="B737" s="36">
        <v>752</v>
      </c>
      <c r="C737" s="52" t="s">
        <v>323</v>
      </c>
      <c r="D737" s="52" t="s">
        <v>232</v>
      </c>
      <c r="E737" s="36" t="s">
        <v>1789</v>
      </c>
      <c r="F737" s="61">
        <v>2825</v>
      </c>
      <c r="G737" s="68" t="s">
        <v>1733</v>
      </c>
      <c r="H737" s="69" t="s">
        <v>56</v>
      </c>
      <c r="I737" s="52" t="s">
        <v>24</v>
      </c>
      <c r="J737" s="46" t="s">
        <v>3</v>
      </c>
      <c r="K737" s="42" t="s">
        <v>1736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</row>
    <row r="738" spans="2:59" s="9" customFormat="1" ht="45" x14ac:dyDescent="0.25">
      <c r="B738" s="36">
        <v>753</v>
      </c>
      <c r="C738" s="52" t="s">
        <v>1643</v>
      </c>
      <c r="D738" s="52" t="s">
        <v>1156</v>
      </c>
      <c r="E738" s="36" t="s">
        <v>1788</v>
      </c>
      <c r="F738" s="61">
        <v>3226</v>
      </c>
      <c r="G738" s="68" t="s">
        <v>1733</v>
      </c>
      <c r="H738" s="69" t="s">
        <v>56</v>
      </c>
      <c r="I738" s="52" t="s">
        <v>24</v>
      </c>
      <c r="J738" s="46" t="s">
        <v>3</v>
      </c>
      <c r="K738" s="42" t="s">
        <v>1737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</row>
    <row r="739" spans="2:59" s="9" customFormat="1" ht="45" x14ac:dyDescent="0.25">
      <c r="B739" s="36">
        <v>754</v>
      </c>
      <c r="C739" s="52" t="s">
        <v>1644</v>
      </c>
      <c r="D739" s="52" t="s">
        <v>278</v>
      </c>
      <c r="E739" s="36" t="s">
        <v>1783</v>
      </c>
      <c r="F739" s="61">
        <v>5251.8</v>
      </c>
      <c r="G739" s="68" t="s">
        <v>1738</v>
      </c>
      <c r="H739" s="69" t="s">
        <v>56</v>
      </c>
      <c r="I739" s="52" t="s">
        <v>24</v>
      </c>
      <c r="J739" s="46" t="s">
        <v>3</v>
      </c>
      <c r="K739" s="42" t="s">
        <v>1739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</row>
    <row r="740" spans="2:59" s="9" customFormat="1" x14ac:dyDescent="0.25">
      <c r="B740" s="36">
        <v>755</v>
      </c>
      <c r="C740" s="52" t="s">
        <v>1645</v>
      </c>
      <c r="D740" s="52" t="s">
        <v>900</v>
      </c>
      <c r="E740" s="36">
        <v>3499</v>
      </c>
      <c r="F740" s="61">
        <v>3499</v>
      </c>
      <c r="G740" s="68" t="s">
        <v>1738</v>
      </c>
      <c r="H740" s="69" t="s">
        <v>56</v>
      </c>
      <c r="I740" s="52" t="s">
        <v>24</v>
      </c>
      <c r="J740" s="46"/>
      <c r="K740" s="42" t="s">
        <v>1740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</row>
    <row r="741" spans="2:59" s="9" customFormat="1" ht="90" x14ac:dyDescent="0.25">
      <c r="B741" s="36">
        <v>756</v>
      </c>
      <c r="C741" s="52" t="s">
        <v>1646</v>
      </c>
      <c r="D741" s="52" t="s">
        <v>1647</v>
      </c>
      <c r="E741" s="36" t="s">
        <v>2356</v>
      </c>
      <c r="F741" s="61">
        <v>230100</v>
      </c>
      <c r="G741" s="68" t="s">
        <v>1738</v>
      </c>
      <c r="H741" s="69" t="s">
        <v>56</v>
      </c>
      <c r="I741" s="52" t="s">
        <v>24</v>
      </c>
      <c r="J741" s="46" t="s">
        <v>398</v>
      </c>
      <c r="K741" s="42" t="s">
        <v>2355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</row>
    <row r="742" spans="2:59" s="9" customFormat="1" ht="101.25" x14ac:dyDescent="0.25">
      <c r="B742" s="36">
        <v>757</v>
      </c>
      <c r="C742" s="52" t="s">
        <v>908</v>
      </c>
      <c r="D742" s="52" t="s">
        <v>1648</v>
      </c>
      <c r="E742" s="36" t="s">
        <v>2345</v>
      </c>
      <c r="F742" s="61">
        <v>52982</v>
      </c>
      <c r="G742" s="68" t="s">
        <v>1741</v>
      </c>
      <c r="H742" s="69" t="s">
        <v>56</v>
      </c>
      <c r="I742" s="52" t="s">
        <v>24</v>
      </c>
      <c r="J742" s="46" t="s">
        <v>1742</v>
      </c>
      <c r="K742" s="42" t="s">
        <v>2344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</row>
    <row r="743" spans="2:59" s="9" customFormat="1" ht="45" x14ac:dyDescent="0.25">
      <c r="B743" s="36">
        <v>758</v>
      </c>
      <c r="C743" s="52" t="s">
        <v>1649</v>
      </c>
      <c r="D743" s="52" t="s">
        <v>1650</v>
      </c>
      <c r="E743" s="36">
        <v>330</v>
      </c>
      <c r="F743" s="61">
        <v>330</v>
      </c>
      <c r="G743" s="68" t="s">
        <v>1743</v>
      </c>
      <c r="H743" s="69" t="s">
        <v>56</v>
      </c>
      <c r="I743" s="52" t="s">
        <v>24</v>
      </c>
      <c r="J743" s="46" t="s">
        <v>3</v>
      </c>
      <c r="K743" s="42">
        <v>330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</row>
    <row r="744" spans="2:59" s="9" customFormat="1" ht="45" x14ac:dyDescent="0.25">
      <c r="B744" s="36">
        <v>759</v>
      </c>
      <c r="C744" s="52" t="s">
        <v>265</v>
      </c>
      <c r="D744" s="52" t="s">
        <v>110</v>
      </c>
      <c r="E744" s="36" t="s">
        <v>2143</v>
      </c>
      <c r="F744" s="61">
        <v>1160</v>
      </c>
      <c r="G744" s="68" t="s">
        <v>1743</v>
      </c>
      <c r="H744" s="69" t="s">
        <v>56</v>
      </c>
      <c r="I744" s="52" t="s">
        <v>24</v>
      </c>
      <c r="J744" s="46" t="s">
        <v>3</v>
      </c>
      <c r="K744" s="42" t="s">
        <v>1794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</row>
    <row r="745" spans="2:59" s="9" customFormat="1" ht="45" x14ac:dyDescent="0.25">
      <c r="B745" s="36">
        <v>760</v>
      </c>
      <c r="C745" s="52" t="s">
        <v>1651</v>
      </c>
      <c r="D745" s="52" t="s">
        <v>278</v>
      </c>
      <c r="E745" s="36" t="s">
        <v>1880</v>
      </c>
      <c r="F745" s="61">
        <v>1916.3</v>
      </c>
      <c r="G745" s="68" t="s">
        <v>1743</v>
      </c>
      <c r="H745" s="69" t="s">
        <v>56</v>
      </c>
      <c r="I745" s="52" t="s">
        <v>24</v>
      </c>
      <c r="J745" s="46" t="s">
        <v>3</v>
      </c>
      <c r="K745" s="42" t="s">
        <v>1872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</row>
    <row r="746" spans="2:59" s="9" customFormat="1" ht="45" x14ac:dyDescent="0.25">
      <c r="B746" s="36">
        <v>761</v>
      </c>
      <c r="C746" s="52" t="s">
        <v>924</v>
      </c>
      <c r="D746" s="52" t="s">
        <v>110</v>
      </c>
      <c r="E746" s="36" t="s">
        <v>1883</v>
      </c>
      <c r="F746" s="61">
        <v>2295</v>
      </c>
      <c r="G746" s="68" t="s">
        <v>1744</v>
      </c>
      <c r="H746" s="69" t="s">
        <v>56</v>
      </c>
      <c r="I746" s="52" t="s">
        <v>24</v>
      </c>
      <c r="J746" s="46" t="s">
        <v>3</v>
      </c>
      <c r="K746" s="42" t="s">
        <v>1873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</row>
    <row r="747" spans="2:59" s="9" customFormat="1" ht="45" x14ac:dyDescent="0.25">
      <c r="B747" s="36">
        <v>762</v>
      </c>
      <c r="C747" s="52" t="s">
        <v>99</v>
      </c>
      <c r="D747" s="52" t="s">
        <v>1156</v>
      </c>
      <c r="E747" s="36" t="s">
        <v>1884</v>
      </c>
      <c r="F747" s="61">
        <v>1610.4</v>
      </c>
      <c r="G747" s="68" t="s">
        <v>1744</v>
      </c>
      <c r="H747" s="69" t="s">
        <v>56</v>
      </c>
      <c r="I747" s="52" t="s">
        <v>24</v>
      </c>
      <c r="J747" s="46" t="s">
        <v>3</v>
      </c>
      <c r="K747" s="42" t="s">
        <v>1874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</row>
    <row r="748" spans="2:59" s="9" customFormat="1" ht="45" x14ac:dyDescent="0.25">
      <c r="B748" s="36">
        <v>763</v>
      </c>
      <c r="C748" s="52" t="s">
        <v>1652</v>
      </c>
      <c r="D748" s="52" t="s">
        <v>108</v>
      </c>
      <c r="E748" s="36">
        <v>76.48</v>
      </c>
      <c r="F748" s="61">
        <v>360</v>
      </c>
      <c r="G748" s="68" t="s">
        <v>1744</v>
      </c>
      <c r="H748" s="69" t="s">
        <v>56</v>
      </c>
      <c r="I748" s="52" t="s">
        <v>24</v>
      </c>
      <c r="J748" s="46" t="s">
        <v>3</v>
      </c>
      <c r="K748" s="42" t="s">
        <v>1875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</row>
    <row r="749" spans="2:59" s="9" customFormat="1" ht="45" x14ac:dyDescent="0.25">
      <c r="B749" s="36">
        <v>764</v>
      </c>
      <c r="C749" s="52" t="s">
        <v>123</v>
      </c>
      <c r="D749" s="52" t="s">
        <v>108</v>
      </c>
      <c r="E749" s="36">
        <v>660</v>
      </c>
      <c r="F749" s="61">
        <v>660</v>
      </c>
      <c r="G749" s="68" t="s">
        <v>1744</v>
      </c>
      <c r="H749" s="69" t="s">
        <v>56</v>
      </c>
      <c r="I749" s="52" t="s">
        <v>24</v>
      </c>
      <c r="J749" s="46" t="s">
        <v>3</v>
      </c>
      <c r="K749" s="42" t="s">
        <v>1876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</row>
    <row r="750" spans="2:59" s="9" customFormat="1" ht="45" x14ac:dyDescent="0.25">
      <c r="B750" s="36">
        <v>765</v>
      </c>
      <c r="C750" s="52" t="s">
        <v>99</v>
      </c>
      <c r="D750" s="52" t="s">
        <v>108</v>
      </c>
      <c r="E750" s="36">
        <v>282.26</v>
      </c>
      <c r="F750" s="61">
        <v>360</v>
      </c>
      <c r="G750" s="68" t="s">
        <v>1744</v>
      </c>
      <c r="H750" s="69" t="s">
        <v>56</v>
      </c>
      <c r="I750" s="52" t="s">
        <v>24</v>
      </c>
      <c r="J750" s="46" t="s">
        <v>3</v>
      </c>
      <c r="K750" s="42" t="s">
        <v>1877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</row>
    <row r="751" spans="2:59" s="9" customFormat="1" ht="45" x14ac:dyDescent="0.25">
      <c r="B751" s="36">
        <v>766</v>
      </c>
      <c r="C751" s="52" t="s">
        <v>1323</v>
      </c>
      <c r="D751" s="52" t="s">
        <v>1156</v>
      </c>
      <c r="E751" s="36" t="s">
        <v>1882</v>
      </c>
      <c r="F751" s="61">
        <v>1452</v>
      </c>
      <c r="G751" s="68" t="s">
        <v>1744</v>
      </c>
      <c r="H751" s="69" t="s">
        <v>56</v>
      </c>
      <c r="I751" s="52" t="s">
        <v>24</v>
      </c>
      <c r="J751" s="46" t="s">
        <v>3</v>
      </c>
      <c r="K751" s="42" t="s">
        <v>1878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</row>
    <row r="752" spans="2:59" s="9" customFormat="1" ht="45" x14ac:dyDescent="0.25">
      <c r="B752" s="36">
        <v>767</v>
      </c>
      <c r="C752" s="52" t="s">
        <v>1653</v>
      </c>
      <c r="D752" s="52" t="s">
        <v>1156</v>
      </c>
      <c r="E752" s="36" t="s">
        <v>1221</v>
      </c>
      <c r="F752" s="61">
        <v>4500</v>
      </c>
      <c r="G752" s="68" t="s">
        <v>1744</v>
      </c>
      <c r="H752" s="69" t="s">
        <v>56</v>
      </c>
      <c r="I752" s="52" t="s">
        <v>24</v>
      </c>
      <c r="J752" s="46" t="s">
        <v>3</v>
      </c>
      <c r="K752" s="42" t="s">
        <v>1879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</row>
    <row r="753" spans="2:59" s="9" customFormat="1" ht="45" x14ac:dyDescent="0.25">
      <c r="B753" s="36">
        <v>769</v>
      </c>
      <c r="C753" s="52" t="s">
        <v>1654</v>
      </c>
      <c r="D753" s="52" t="s">
        <v>1156</v>
      </c>
      <c r="E753" s="36" t="s">
        <v>2163</v>
      </c>
      <c r="F753" s="61">
        <v>1200</v>
      </c>
      <c r="G753" s="68" t="s">
        <v>1744</v>
      </c>
      <c r="H753" s="69" t="s">
        <v>56</v>
      </c>
      <c r="I753" s="52" t="s">
        <v>24</v>
      </c>
      <c r="J753" s="46" t="s">
        <v>3</v>
      </c>
      <c r="K753" s="42" t="s">
        <v>2148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</row>
    <row r="754" spans="2:59" s="9" customFormat="1" ht="45" x14ac:dyDescent="0.25">
      <c r="B754" s="36">
        <v>770</v>
      </c>
      <c r="C754" s="52" t="s">
        <v>924</v>
      </c>
      <c r="D754" s="52" t="s">
        <v>110</v>
      </c>
      <c r="E754" s="36" t="s">
        <v>2159</v>
      </c>
      <c r="F754" s="61" t="s">
        <v>2159</v>
      </c>
      <c r="G754" s="68" t="s">
        <v>1744</v>
      </c>
      <c r="H754" s="41" t="s">
        <v>56</v>
      </c>
      <c r="I754" s="52" t="s">
        <v>24</v>
      </c>
      <c r="J754" s="46" t="s">
        <v>3</v>
      </c>
      <c r="K754" s="42" t="s">
        <v>2149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</row>
    <row r="755" spans="2:59" s="9" customFormat="1" ht="45" x14ac:dyDescent="0.25">
      <c r="B755" s="36">
        <v>771</v>
      </c>
      <c r="C755" s="52" t="s">
        <v>1655</v>
      </c>
      <c r="D755" s="52" t="s">
        <v>1656</v>
      </c>
      <c r="E755" s="36" t="s">
        <v>838</v>
      </c>
      <c r="F755" s="61">
        <v>4500</v>
      </c>
      <c r="G755" s="68" t="s">
        <v>1744</v>
      </c>
      <c r="H755" s="69" t="s">
        <v>56</v>
      </c>
      <c r="I755" s="52" t="s">
        <v>24</v>
      </c>
      <c r="J755" s="46" t="s">
        <v>826</v>
      </c>
      <c r="K755" s="42" t="s">
        <v>2150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</row>
    <row r="756" spans="2:59" s="9" customFormat="1" ht="45" x14ac:dyDescent="0.25">
      <c r="B756" s="36">
        <v>772</v>
      </c>
      <c r="C756" s="52" t="s">
        <v>1657</v>
      </c>
      <c r="D756" s="52" t="s">
        <v>232</v>
      </c>
      <c r="E756" s="36" t="s">
        <v>2165</v>
      </c>
      <c r="F756" s="61">
        <v>5312.5</v>
      </c>
      <c r="G756" s="68" t="s">
        <v>1744</v>
      </c>
      <c r="H756" s="69" t="s">
        <v>56</v>
      </c>
      <c r="I756" s="52" t="s">
        <v>24</v>
      </c>
      <c r="J756" s="46" t="s">
        <v>3</v>
      </c>
      <c r="K756" s="42" t="s">
        <v>2151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</row>
    <row r="757" spans="2:59" s="9" customFormat="1" ht="45" x14ac:dyDescent="0.25">
      <c r="B757" s="36">
        <v>773</v>
      </c>
      <c r="C757" s="52" t="s">
        <v>1658</v>
      </c>
      <c r="D757" s="52" t="s">
        <v>108</v>
      </c>
      <c r="E757" s="36">
        <v>660</v>
      </c>
      <c r="F757" s="61">
        <v>660</v>
      </c>
      <c r="G757" s="68" t="s">
        <v>1745</v>
      </c>
      <c r="H757" s="69" t="s">
        <v>56</v>
      </c>
      <c r="I757" s="52" t="s">
        <v>24</v>
      </c>
      <c r="J757" s="46" t="s">
        <v>3</v>
      </c>
      <c r="K757" s="42" t="s">
        <v>2152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</row>
    <row r="758" spans="2:59" s="9" customFormat="1" ht="45" x14ac:dyDescent="0.25">
      <c r="B758" s="36">
        <v>774</v>
      </c>
      <c r="C758" s="52" t="s">
        <v>903</v>
      </c>
      <c r="D758" s="52" t="s">
        <v>110</v>
      </c>
      <c r="E758" s="36" t="s">
        <v>2146</v>
      </c>
      <c r="F758" s="61">
        <v>2500</v>
      </c>
      <c r="G758" s="68" t="s">
        <v>1745</v>
      </c>
      <c r="H758" s="69" t="s">
        <v>56</v>
      </c>
      <c r="I758" s="52" t="s">
        <v>24</v>
      </c>
      <c r="J758" s="46" t="s">
        <v>3</v>
      </c>
      <c r="K758" s="42" t="s">
        <v>1867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</row>
    <row r="759" spans="2:59" s="9" customFormat="1" ht="45" x14ac:dyDescent="0.25">
      <c r="B759" s="36">
        <v>775</v>
      </c>
      <c r="C759" s="52" t="s">
        <v>99</v>
      </c>
      <c r="D759" s="52" t="s">
        <v>1156</v>
      </c>
      <c r="E759" s="36" t="s">
        <v>2144</v>
      </c>
      <c r="F759" s="61">
        <v>1225</v>
      </c>
      <c r="G759" s="68" t="s">
        <v>1745</v>
      </c>
      <c r="H759" s="69" t="s">
        <v>56</v>
      </c>
      <c r="I759" s="52" t="s">
        <v>24</v>
      </c>
      <c r="J759" s="46" t="s">
        <v>3</v>
      </c>
      <c r="K759" s="42" t="s">
        <v>1868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</row>
    <row r="760" spans="2:59" s="9" customFormat="1" ht="45" x14ac:dyDescent="0.25">
      <c r="B760" s="36">
        <v>776</v>
      </c>
      <c r="C760" s="52" t="s">
        <v>123</v>
      </c>
      <c r="D760" s="52" t="s">
        <v>108</v>
      </c>
      <c r="E760" s="36">
        <v>550</v>
      </c>
      <c r="F760" s="61">
        <v>550</v>
      </c>
      <c r="G760" s="68" t="s">
        <v>1745</v>
      </c>
      <c r="H760" s="69" t="s">
        <v>56</v>
      </c>
      <c r="I760" s="52" t="s">
        <v>24</v>
      </c>
      <c r="J760" s="46" t="s">
        <v>3</v>
      </c>
      <c r="K760" s="42" t="s">
        <v>1869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</row>
    <row r="761" spans="2:59" s="9" customFormat="1" ht="45" x14ac:dyDescent="0.25">
      <c r="B761" s="36">
        <v>777</v>
      </c>
      <c r="C761" s="52" t="s">
        <v>235</v>
      </c>
      <c r="D761" s="52" t="s">
        <v>108</v>
      </c>
      <c r="E761" s="36">
        <v>247</v>
      </c>
      <c r="F761" s="61">
        <v>250</v>
      </c>
      <c r="G761" s="68" t="s">
        <v>1745</v>
      </c>
      <c r="H761" s="69" t="s">
        <v>56</v>
      </c>
      <c r="I761" s="52" t="s">
        <v>24</v>
      </c>
      <c r="J761" s="46" t="s">
        <v>3</v>
      </c>
      <c r="K761" s="42" t="s">
        <v>1870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</row>
    <row r="762" spans="2:59" s="9" customFormat="1" ht="45" x14ac:dyDescent="0.25">
      <c r="B762" s="36">
        <v>778</v>
      </c>
      <c r="C762" s="52" t="s">
        <v>861</v>
      </c>
      <c r="D762" s="52" t="s">
        <v>232</v>
      </c>
      <c r="E762" s="36" t="s">
        <v>1885</v>
      </c>
      <c r="F762" s="61">
        <v>2212.5</v>
      </c>
      <c r="G762" s="68" t="s">
        <v>1745</v>
      </c>
      <c r="H762" s="69" t="s">
        <v>56</v>
      </c>
      <c r="I762" s="52" t="s">
        <v>24</v>
      </c>
      <c r="J762" s="46" t="s">
        <v>3</v>
      </c>
      <c r="K762" s="42" t="s">
        <v>1871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</row>
    <row r="763" spans="2:59" s="9" customFormat="1" ht="45" x14ac:dyDescent="0.25">
      <c r="B763" s="36">
        <v>779</v>
      </c>
      <c r="C763" s="52" t="s">
        <v>1652</v>
      </c>
      <c r="D763" s="52" t="s">
        <v>108</v>
      </c>
      <c r="E763" s="36">
        <v>227.12</v>
      </c>
      <c r="F763" s="61">
        <v>250</v>
      </c>
      <c r="G763" s="68" t="s">
        <v>1745</v>
      </c>
      <c r="H763" s="69" t="s">
        <v>56</v>
      </c>
      <c r="I763" s="52" t="s">
        <v>24</v>
      </c>
      <c r="J763" s="46" t="s">
        <v>3</v>
      </c>
      <c r="K763" s="42" t="s">
        <v>2147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</row>
    <row r="764" spans="2:59" s="9" customFormat="1" ht="45" x14ac:dyDescent="0.25">
      <c r="B764" s="36">
        <v>780</v>
      </c>
      <c r="C764" s="52" t="s">
        <v>1659</v>
      </c>
      <c r="D764" s="52" t="s">
        <v>108</v>
      </c>
      <c r="E764" s="36">
        <v>248.4</v>
      </c>
      <c r="F764" s="61">
        <v>300</v>
      </c>
      <c r="G764" s="68" t="s">
        <v>1745</v>
      </c>
      <c r="H764" s="69" t="s">
        <v>56</v>
      </c>
      <c r="I764" s="52" t="s">
        <v>24</v>
      </c>
      <c r="J764" s="46" t="s">
        <v>3</v>
      </c>
      <c r="K764" s="42" t="s">
        <v>1830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</row>
    <row r="765" spans="2:59" s="9" customFormat="1" ht="22.5" x14ac:dyDescent="0.25">
      <c r="B765" s="36">
        <v>781</v>
      </c>
      <c r="C765" s="52" t="s">
        <v>1796</v>
      </c>
      <c r="D765" s="52" t="s">
        <v>1797</v>
      </c>
      <c r="E765" s="36">
        <f>6399</f>
        <v>6399</v>
      </c>
      <c r="F765" s="61">
        <v>6399</v>
      </c>
      <c r="G765" s="68" t="s">
        <v>1831</v>
      </c>
      <c r="H765" s="69" t="s">
        <v>56</v>
      </c>
      <c r="I765" s="52" t="s">
        <v>9</v>
      </c>
      <c r="J765" s="51" t="s">
        <v>1832</v>
      </c>
      <c r="K765" s="4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</row>
    <row r="766" spans="2:59" s="9" customFormat="1" ht="45" x14ac:dyDescent="0.25">
      <c r="B766" s="36">
        <v>782</v>
      </c>
      <c r="C766" s="52" t="s">
        <v>1798</v>
      </c>
      <c r="D766" s="52" t="s">
        <v>1799</v>
      </c>
      <c r="E766" s="36">
        <f>5600+1070</f>
        <v>6670</v>
      </c>
      <c r="F766" s="61">
        <v>6670</v>
      </c>
      <c r="G766" s="68" t="s">
        <v>1833</v>
      </c>
      <c r="H766" s="69" t="s">
        <v>56</v>
      </c>
      <c r="I766" s="52" t="s">
        <v>9</v>
      </c>
      <c r="J766" s="52" t="s">
        <v>1834</v>
      </c>
      <c r="K766" s="4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</row>
    <row r="767" spans="2:59" s="9" customFormat="1" ht="45" x14ac:dyDescent="0.25">
      <c r="B767" s="36">
        <v>783</v>
      </c>
      <c r="C767" s="52" t="s">
        <v>1349</v>
      </c>
      <c r="D767" s="52" t="s">
        <v>278</v>
      </c>
      <c r="E767" s="36" t="s">
        <v>2820</v>
      </c>
      <c r="F767" s="61">
        <v>6413</v>
      </c>
      <c r="G767" s="68" t="s">
        <v>1833</v>
      </c>
      <c r="H767" s="69" t="s">
        <v>56</v>
      </c>
      <c r="I767" s="52" t="s">
        <v>24</v>
      </c>
      <c r="J767" s="51" t="s">
        <v>3</v>
      </c>
      <c r="K767" s="42" t="s">
        <v>1835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</row>
    <row r="768" spans="2:59" s="9" customFormat="1" ht="45" x14ac:dyDescent="0.25">
      <c r="B768" s="36">
        <v>784</v>
      </c>
      <c r="C768" s="52" t="s">
        <v>1800</v>
      </c>
      <c r="D768" s="52" t="s">
        <v>1801</v>
      </c>
      <c r="E768" s="36">
        <v>150</v>
      </c>
      <c r="F768" s="61">
        <v>150</v>
      </c>
      <c r="G768" s="68" t="s">
        <v>1833</v>
      </c>
      <c r="H768" s="69" t="s">
        <v>56</v>
      </c>
      <c r="I768" s="52" t="s">
        <v>24</v>
      </c>
      <c r="J768" s="46" t="s">
        <v>3</v>
      </c>
      <c r="K768" s="42" t="s">
        <v>1836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</row>
    <row r="769" spans="1:59" s="9" customFormat="1" ht="45" x14ac:dyDescent="0.25">
      <c r="B769" s="36">
        <v>785</v>
      </c>
      <c r="C769" s="52" t="s">
        <v>1323</v>
      </c>
      <c r="D769" s="52" t="s">
        <v>1156</v>
      </c>
      <c r="E769" s="36" t="s">
        <v>1881</v>
      </c>
      <c r="F769" s="61">
        <v>1452</v>
      </c>
      <c r="G769" s="68" t="s">
        <v>1833</v>
      </c>
      <c r="H769" s="69" t="s">
        <v>56</v>
      </c>
      <c r="I769" s="52" t="s">
        <v>24</v>
      </c>
      <c r="J769" s="46" t="s">
        <v>3</v>
      </c>
      <c r="K769" s="42" t="s">
        <v>1837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</row>
    <row r="770" spans="1:59" s="9" customFormat="1" ht="45" x14ac:dyDescent="0.25">
      <c r="B770" s="36">
        <v>786</v>
      </c>
      <c r="C770" s="52" t="s">
        <v>188</v>
      </c>
      <c r="D770" s="52" t="s">
        <v>108</v>
      </c>
      <c r="E770" s="36">
        <v>163.44999999999999</v>
      </c>
      <c r="F770" s="61">
        <v>550</v>
      </c>
      <c r="G770" s="68" t="s">
        <v>1838</v>
      </c>
      <c r="H770" s="69" t="s">
        <v>56</v>
      </c>
      <c r="I770" s="52" t="s">
        <v>24</v>
      </c>
      <c r="J770" s="46" t="s">
        <v>3</v>
      </c>
      <c r="K770" s="42" t="s">
        <v>1839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</row>
    <row r="771" spans="1:59" s="9" customFormat="1" ht="90" x14ac:dyDescent="0.25">
      <c r="B771" s="36">
        <v>787</v>
      </c>
      <c r="C771" s="52" t="s">
        <v>1802</v>
      </c>
      <c r="D771" s="52" t="s">
        <v>338</v>
      </c>
      <c r="E771" s="36" t="s">
        <v>2295</v>
      </c>
      <c r="F771" s="61">
        <v>4000</v>
      </c>
      <c r="G771" s="68" t="s">
        <v>1838</v>
      </c>
      <c r="H771" s="69" t="s">
        <v>56</v>
      </c>
      <c r="I771" s="52" t="s">
        <v>24</v>
      </c>
      <c r="J771" s="46" t="s">
        <v>398</v>
      </c>
      <c r="K771" s="42" t="s">
        <v>1840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</row>
    <row r="772" spans="1:59" s="9" customFormat="1" ht="45" x14ac:dyDescent="0.25">
      <c r="B772" s="36">
        <v>788</v>
      </c>
      <c r="C772" s="52" t="s">
        <v>1803</v>
      </c>
      <c r="D772" s="52" t="s">
        <v>108</v>
      </c>
      <c r="E772" s="36"/>
      <c r="F772" s="61">
        <v>660</v>
      </c>
      <c r="G772" s="68" t="s">
        <v>1838</v>
      </c>
      <c r="H772" s="69" t="s">
        <v>56</v>
      </c>
      <c r="I772" s="52" t="s">
        <v>24</v>
      </c>
      <c r="J772" s="46" t="s">
        <v>3</v>
      </c>
      <c r="K772" s="42" t="s">
        <v>1841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</row>
    <row r="773" spans="1:59" s="9" customFormat="1" ht="45" x14ac:dyDescent="0.25">
      <c r="B773" s="36">
        <v>789</v>
      </c>
      <c r="C773" s="52" t="s">
        <v>1804</v>
      </c>
      <c r="D773" s="52" t="s">
        <v>1156</v>
      </c>
      <c r="E773" s="36" t="s">
        <v>841</v>
      </c>
      <c r="F773" s="61">
        <v>2600</v>
      </c>
      <c r="G773" s="68" t="s">
        <v>1838</v>
      </c>
      <c r="H773" s="69" t="s">
        <v>56</v>
      </c>
      <c r="I773" s="52" t="s">
        <v>24</v>
      </c>
      <c r="J773" s="46" t="s">
        <v>3</v>
      </c>
      <c r="K773" s="42" t="s">
        <v>1842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</row>
    <row r="774" spans="1:59" s="9" customFormat="1" ht="45" x14ac:dyDescent="0.25">
      <c r="B774" s="36">
        <v>790</v>
      </c>
      <c r="C774" s="52" t="s">
        <v>1804</v>
      </c>
      <c r="D774" s="52" t="s">
        <v>108</v>
      </c>
      <c r="E774" s="36">
        <v>660</v>
      </c>
      <c r="F774" s="61">
        <v>660</v>
      </c>
      <c r="G774" s="68" t="s">
        <v>1838</v>
      </c>
      <c r="H774" s="69" t="s">
        <v>56</v>
      </c>
      <c r="I774" s="52" t="s">
        <v>24</v>
      </c>
      <c r="J774" s="46" t="s">
        <v>3</v>
      </c>
      <c r="K774" s="42" t="s">
        <v>1843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</row>
    <row r="775" spans="1:59" s="9" customFormat="1" ht="45" x14ac:dyDescent="0.25">
      <c r="B775" s="36">
        <v>791</v>
      </c>
      <c r="C775" s="52" t="s">
        <v>1803</v>
      </c>
      <c r="D775" s="52" t="s">
        <v>1156</v>
      </c>
      <c r="E775" s="36" t="s">
        <v>2352</v>
      </c>
      <c r="F775" s="61">
        <v>2280</v>
      </c>
      <c r="G775" s="68" t="s">
        <v>1838</v>
      </c>
      <c r="H775" s="69" t="s">
        <v>56</v>
      </c>
      <c r="I775" s="52" t="s">
        <v>24</v>
      </c>
      <c r="J775" s="46" t="s">
        <v>3</v>
      </c>
      <c r="K775" s="42" t="s">
        <v>1844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</row>
    <row r="776" spans="1:59" s="9" customFormat="1" ht="90" x14ac:dyDescent="0.25">
      <c r="B776" s="36">
        <v>792</v>
      </c>
      <c r="C776" s="52" t="s">
        <v>488</v>
      </c>
      <c r="D776" s="52" t="s">
        <v>1805</v>
      </c>
      <c r="E776" s="36" t="s">
        <v>2566</v>
      </c>
      <c r="F776" s="61">
        <v>4599</v>
      </c>
      <c r="G776" s="68" t="s">
        <v>1845</v>
      </c>
      <c r="H776" s="69" t="s">
        <v>56</v>
      </c>
      <c r="I776" s="52" t="s">
        <v>24</v>
      </c>
      <c r="J776" s="46" t="s">
        <v>398</v>
      </c>
      <c r="K776" s="42" t="s">
        <v>1846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</row>
    <row r="777" spans="1:59" s="9" customFormat="1" ht="90" x14ac:dyDescent="0.25">
      <c r="B777" s="36">
        <v>793</v>
      </c>
      <c r="C777" s="52" t="s">
        <v>1806</v>
      </c>
      <c r="D777" s="52" t="s">
        <v>338</v>
      </c>
      <c r="E777" s="36" t="s">
        <v>2291</v>
      </c>
      <c r="F777" s="61">
        <v>11550</v>
      </c>
      <c r="G777" s="68" t="s">
        <v>1845</v>
      </c>
      <c r="H777" s="69" t="s">
        <v>56</v>
      </c>
      <c r="I777" s="52" t="s">
        <v>24</v>
      </c>
      <c r="J777" s="46" t="s">
        <v>398</v>
      </c>
      <c r="K777" s="42" t="s">
        <v>1847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</row>
    <row r="778" spans="1:59" s="10" customFormat="1" ht="45" x14ac:dyDescent="0.25">
      <c r="B778" s="36">
        <v>794</v>
      </c>
      <c r="C778" s="52" t="s">
        <v>265</v>
      </c>
      <c r="D778" s="52" t="s">
        <v>110</v>
      </c>
      <c r="E778" s="36">
        <v>140</v>
      </c>
      <c r="F778" s="61">
        <v>140</v>
      </c>
      <c r="G778" s="68" t="s">
        <v>1848</v>
      </c>
      <c r="H778" s="69" t="s">
        <v>56</v>
      </c>
      <c r="I778" s="52" t="s">
        <v>24</v>
      </c>
      <c r="J778" s="46" t="s">
        <v>3</v>
      </c>
      <c r="K778" s="42" t="s">
        <v>1849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</row>
    <row r="779" spans="1:59" s="9" customFormat="1" ht="45" x14ac:dyDescent="0.25">
      <c r="B779" s="36">
        <v>795</v>
      </c>
      <c r="C779" s="52" t="s">
        <v>277</v>
      </c>
      <c r="D779" s="52" t="s">
        <v>278</v>
      </c>
      <c r="E779" s="36" t="s">
        <v>2307</v>
      </c>
      <c r="F779" s="61" t="s">
        <v>2307</v>
      </c>
      <c r="G779" s="68" t="s">
        <v>1848</v>
      </c>
      <c r="H779" s="69" t="s">
        <v>56</v>
      </c>
      <c r="I779" s="52" t="s">
        <v>24</v>
      </c>
      <c r="J779" s="46" t="s">
        <v>3</v>
      </c>
      <c r="K779" s="42" t="s">
        <v>2153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</row>
    <row r="780" spans="1:59" s="9" customFormat="1" ht="45" x14ac:dyDescent="0.25">
      <c r="B780" s="36">
        <v>796</v>
      </c>
      <c r="C780" s="52" t="s">
        <v>1807</v>
      </c>
      <c r="D780" s="52" t="s">
        <v>232</v>
      </c>
      <c r="E780" s="36" t="s">
        <v>2290</v>
      </c>
      <c r="F780" s="61">
        <v>3241.2</v>
      </c>
      <c r="G780" s="68" t="s">
        <v>1850</v>
      </c>
      <c r="H780" s="69" t="s">
        <v>56</v>
      </c>
      <c r="I780" s="52" t="s">
        <v>24</v>
      </c>
      <c r="J780" s="46" t="s">
        <v>3</v>
      </c>
      <c r="K780" s="42" t="s">
        <v>1851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</row>
    <row r="781" spans="1:59" s="9" customFormat="1" ht="45" x14ac:dyDescent="0.2">
      <c r="B781" s="36">
        <v>797</v>
      </c>
      <c r="C781" s="52" t="s">
        <v>1807</v>
      </c>
      <c r="D781" s="52" t="s">
        <v>110</v>
      </c>
      <c r="E781" s="36" t="s">
        <v>2292</v>
      </c>
      <c r="F781" s="61">
        <v>3241.2</v>
      </c>
      <c r="G781" s="68" t="s">
        <v>1850</v>
      </c>
      <c r="H781" s="69" t="s">
        <v>56</v>
      </c>
      <c r="I781" s="52" t="s">
        <v>24</v>
      </c>
      <c r="J781" s="46" t="s">
        <v>3</v>
      </c>
      <c r="K781" s="70" t="s">
        <v>1852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</row>
    <row r="782" spans="1:59" s="9" customFormat="1" ht="56.25" x14ac:dyDescent="0.25">
      <c r="B782" s="36">
        <v>798</v>
      </c>
      <c r="C782" s="52" t="s">
        <v>1808</v>
      </c>
      <c r="D782" s="52" t="s">
        <v>1809</v>
      </c>
      <c r="E782" s="36">
        <f>22000</f>
        <v>22000</v>
      </c>
      <c r="F782" s="61">
        <v>22000</v>
      </c>
      <c r="G782" s="68" t="s">
        <v>1850</v>
      </c>
      <c r="H782" s="69" t="s">
        <v>56</v>
      </c>
      <c r="I782" s="52" t="s">
        <v>9</v>
      </c>
      <c r="J782" s="52" t="s">
        <v>1853</v>
      </c>
      <c r="K782" s="4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</row>
    <row r="783" spans="1:59" s="9" customFormat="1" ht="45" x14ac:dyDescent="0.25">
      <c r="B783" s="36">
        <v>799</v>
      </c>
      <c r="C783" s="52" t="s">
        <v>924</v>
      </c>
      <c r="D783" s="52" t="s">
        <v>110</v>
      </c>
      <c r="E783" s="36" t="s">
        <v>2170</v>
      </c>
      <c r="F783" s="61">
        <v>2870</v>
      </c>
      <c r="G783" s="68" t="s">
        <v>1854</v>
      </c>
      <c r="H783" s="69" t="s">
        <v>56</v>
      </c>
      <c r="I783" s="52" t="s">
        <v>24</v>
      </c>
      <c r="J783" s="52" t="s">
        <v>3</v>
      </c>
      <c r="K783" s="42" t="s">
        <v>1855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</row>
    <row r="784" spans="1:59" ht="45" x14ac:dyDescent="0.25">
      <c r="A784" s="1"/>
      <c r="B784" s="36">
        <v>800</v>
      </c>
      <c r="C784" s="52" t="s">
        <v>1810</v>
      </c>
      <c r="D784" s="52" t="s">
        <v>232</v>
      </c>
      <c r="E784" s="36" t="s">
        <v>2168</v>
      </c>
      <c r="F784" s="61">
        <v>2190</v>
      </c>
      <c r="G784" s="68" t="s">
        <v>1854</v>
      </c>
      <c r="H784" s="69" t="s">
        <v>56</v>
      </c>
      <c r="I784" s="52" t="s">
        <v>24</v>
      </c>
      <c r="J784" s="52" t="s">
        <v>3</v>
      </c>
      <c r="K784" s="42" t="s">
        <v>1856</v>
      </c>
    </row>
    <row r="785" spans="2:59" s="9" customFormat="1" ht="45" x14ac:dyDescent="0.25">
      <c r="B785" s="36">
        <v>801</v>
      </c>
      <c r="C785" s="52" t="s">
        <v>1811</v>
      </c>
      <c r="D785" s="52" t="s">
        <v>108</v>
      </c>
      <c r="E785" s="36">
        <v>541.20000000000005</v>
      </c>
      <c r="F785" s="61">
        <v>541.20000000000005</v>
      </c>
      <c r="G785" s="68" t="s">
        <v>1854</v>
      </c>
      <c r="H785" s="69" t="s">
        <v>56</v>
      </c>
      <c r="I785" s="52" t="s">
        <v>24</v>
      </c>
      <c r="J785" s="52" t="s">
        <v>3</v>
      </c>
      <c r="K785" s="42" t="s">
        <v>1857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</row>
    <row r="786" spans="2:59" s="9" customFormat="1" ht="45" x14ac:dyDescent="0.25">
      <c r="B786" s="36">
        <v>802</v>
      </c>
      <c r="C786" s="52" t="s">
        <v>1658</v>
      </c>
      <c r="D786" s="52" t="s">
        <v>108</v>
      </c>
      <c r="E786" s="36">
        <v>450</v>
      </c>
      <c r="F786" s="61">
        <v>450</v>
      </c>
      <c r="G786" s="68" t="s">
        <v>1854</v>
      </c>
      <c r="H786" s="69" t="s">
        <v>56</v>
      </c>
      <c r="I786" s="52" t="s">
        <v>24</v>
      </c>
      <c r="J786" s="52" t="s">
        <v>3</v>
      </c>
      <c r="K786" s="42" t="s">
        <v>2154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</row>
    <row r="787" spans="2:59" s="9" customFormat="1" ht="45" x14ac:dyDescent="0.25">
      <c r="B787" s="36">
        <v>803</v>
      </c>
      <c r="C787" s="52" t="s">
        <v>132</v>
      </c>
      <c r="D787" s="52" t="s">
        <v>1156</v>
      </c>
      <c r="E787" s="36" t="s">
        <v>2169</v>
      </c>
      <c r="F787" s="61">
        <v>4410</v>
      </c>
      <c r="G787" s="68" t="s">
        <v>1854</v>
      </c>
      <c r="H787" s="69" t="s">
        <v>56</v>
      </c>
      <c r="I787" s="52" t="s">
        <v>24</v>
      </c>
      <c r="J787" s="52" t="s">
        <v>3</v>
      </c>
      <c r="K787" s="42" t="s">
        <v>1858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</row>
    <row r="788" spans="2:59" s="9" customFormat="1" ht="45" x14ac:dyDescent="0.25">
      <c r="B788" s="36">
        <v>804</v>
      </c>
      <c r="C788" s="52" t="s">
        <v>1333</v>
      </c>
      <c r="D788" s="52" t="s">
        <v>108</v>
      </c>
      <c r="E788" s="36">
        <v>451</v>
      </c>
      <c r="F788" s="61">
        <v>450</v>
      </c>
      <c r="G788" s="68" t="s">
        <v>1854</v>
      </c>
      <c r="H788" s="69" t="s">
        <v>56</v>
      </c>
      <c r="I788" s="52" t="s">
        <v>24</v>
      </c>
      <c r="J788" s="52" t="s">
        <v>3</v>
      </c>
      <c r="K788" s="42" t="s">
        <v>2155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</row>
    <row r="789" spans="2:59" s="3" customFormat="1" ht="45" x14ac:dyDescent="0.25">
      <c r="B789" s="36">
        <v>805</v>
      </c>
      <c r="C789" s="52" t="s">
        <v>1366</v>
      </c>
      <c r="D789" s="52" t="s">
        <v>108</v>
      </c>
      <c r="E789" s="36">
        <v>450</v>
      </c>
      <c r="F789" s="61">
        <v>450</v>
      </c>
      <c r="G789" s="68" t="s">
        <v>1854</v>
      </c>
      <c r="H789" s="69" t="s">
        <v>56</v>
      </c>
      <c r="I789" s="52" t="s">
        <v>24</v>
      </c>
      <c r="J789" s="52" t="s">
        <v>3</v>
      </c>
      <c r="K789" s="42" t="s">
        <v>2156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</row>
    <row r="790" spans="2:59" s="9" customFormat="1" ht="45" x14ac:dyDescent="0.25">
      <c r="B790" s="36">
        <v>806</v>
      </c>
      <c r="C790" s="52" t="s">
        <v>277</v>
      </c>
      <c r="D790" s="52" t="s">
        <v>278</v>
      </c>
      <c r="E790" s="36" t="s">
        <v>2298</v>
      </c>
      <c r="F790" s="61">
        <v>15913.9</v>
      </c>
      <c r="G790" s="68" t="s">
        <v>1854</v>
      </c>
      <c r="H790" s="69" t="s">
        <v>56</v>
      </c>
      <c r="I790" s="52" t="s">
        <v>24</v>
      </c>
      <c r="J790" s="52" t="s">
        <v>3</v>
      </c>
      <c r="K790" s="42" t="s">
        <v>2157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</row>
    <row r="791" spans="2:59" s="9" customFormat="1" ht="45" x14ac:dyDescent="0.25">
      <c r="B791" s="36">
        <v>807</v>
      </c>
      <c r="C791" s="52" t="s">
        <v>1652</v>
      </c>
      <c r="D791" s="52" t="s">
        <v>108</v>
      </c>
      <c r="E791" s="36">
        <v>394.85</v>
      </c>
      <c r="F791" s="61">
        <v>420</v>
      </c>
      <c r="G791" s="68" t="s">
        <v>1854</v>
      </c>
      <c r="H791" s="69" t="s">
        <v>56</v>
      </c>
      <c r="I791" s="52" t="s">
        <v>24</v>
      </c>
      <c r="J791" s="52" t="s">
        <v>3</v>
      </c>
      <c r="K791" s="42" t="s">
        <v>2158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</row>
    <row r="792" spans="2:59" s="9" customFormat="1" ht="45" x14ac:dyDescent="0.25">
      <c r="B792" s="36">
        <v>808</v>
      </c>
      <c r="C792" s="52" t="s">
        <v>1812</v>
      </c>
      <c r="D792" s="52" t="s">
        <v>1813</v>
      </c>
      <c r="E792" s="36">
        <v>45000</v>
      </c>
      <c r="F792" s="61">
        <v>45000</v>
      </c>
      <c r="G792" s="68" t="s">
        <v>1854</v>
      </c>
      <c r="H792" s="69" t="s">
        <v>56</v>
      </c>
      <c r="I792" s="52" t="s">
        <v>9</v>
      </c>
      <c r="J792" s="52" t="s">
        <v>1859</v>
      </c>
      <c r="K792" s="4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</row>
    <row r="793" spans="2:59" s="9" customFormat="1" ht="45" x14ac:dyDescent="0.25">
      <c r="B793" s="36">
        <v>809</v>
      </c>
      <c r="C793" s="52" t="s">
        <v>1814</v>
      </c>
      <c r="D793" s="52" t="s">
        <v>1156</v>
      </c>
      <c r="E793" s="36" t="s">
        <v>2306</v>
      </c>
      <c r="F793" s="61">
        <v>4875</v>
      </c>
      <c r="G793" s="68" t="s">
        <v>1854</v>
      </c>
      <c r="H793" s="69" t="s">
        <v>56</v>
      </c>
      <c r="I793" s="52" t="s">
        <v>24</v>
      </c>
      <c r="J793" s="52" t="s">
        <v>3</v>
      </c>
      <c r="K793" s="42" t="s">
        <v>2305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</row>
    <row r="794" spans="2:59" s="9" customFormat="1" ht="45" x14ac:dyDescent="0.25">
      <c r="B794" s="36">
        <v>810</v>
      </c>
      <c r="C794" s="52" t="s">
        <v>265</v>
      </c>
      <c r="D794" s="52" t="s">
        <v>110</v>
      </c>
      <c r="E794" s="36">
        <v>140</v>
      </c>
      <c r="F794" s="61">
        <v>140</v>
      </c>
      <c r="G794" s="68" t="s">
        <v>1854</v>
      </c>
      <c r="H794" s="69" t="s">
        <v>56</v>
      </c>
      <c r="I794" s="52" t="s">
        <v>24</v>
      </c>
      <c r="J794" s="52" t="s">
        <v>3</v>
      </c>
      <c r="K794" s="42" t="s">
        <v>1860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</row>
    <row r="795" spans="2:59" s="9" customFormat="1" ht="45" x14ac:dyDescent="0.25">
      <c r="B795" s="36">
        <v>811</v>
      </c>
      <c r="C795" s="52" t="s">
        <v>1815</v>
      </c>
      <c r="D795" s="52" t="s">
        <v>108</v>
      </c>
      <c r="E795" s="36">
        <v>126.5</v>
      </c>
      <c r="F795" s="61">
        <v>126.5</v>
      </c>
      <c r="G795" s="68" t="s">
        <v>1854</v>
      </c>
      <c r="H795" s="69" t="s">
        <v>56</v>
      </c>
      <c r="I795" s="52" t="s">
        <v>24</v>
      </c>
      <c r="J795" s="52" t="s">
        <v>3</v>
      </c>
      <c r="K795" s="42" t="s">
        <v>1861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</row>
    <row r="796" spans="2:59" s="9" customFormat="1" ht="45" x14ac:dyDescent="0.25">
      <c r="B796" s="36">
        <v>812</v>
      </c>
      <c r="C796" s="52" t="s">
        <v>277</v>
      </c>
      <c r="D796" s="52" t="s">
        <v>278</v>
      </c>
      <c r="E796" s="36" t="s">
        <v>2297</v>
      </c>
      <c r="F796" s="61">
        <v>5978</v>
      </c>
      <c r="G796" s="68" t="s">
        <v>1854</v>
      </c>
      <c r="H796" s="69" t="s">
        <v>56</v>
      </c>
      <c r="I796" s="52" t="s">
        <v>24</v>
      </c>
      <c r="J796" s="52" t="s">
        <v>3</v>
      </c>
      <c r="K796" s="42" t="s">
        <v>2171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</row>
    <row r="797" spans="2:59" s="9" customFormat="1" ht="45" x14ac:dyDescent="0.25">
      <c r="B797" s="36">
        <v>813</v>
      </c>
      <c r="C797" s="36" t="s">
        <v>947</v>
      </c>
      <c r="D797" s="36" t="s">
        <v>93</v>
      </c>
      <c r="E797" s="36" t="s">
        <v>2309</v>
      </c>
      <c r="F797" s="39">
        <v>1121</v>
      </c>
      <c r="G797" s="47" t="s">
        <v>1862</v>
      </c>
      <c r="H797" s="41" t="s">
        <v>56</v>
      </c>
      <c r="I797" s="52" t="s">
        <v>24</v>
      </c>
      <c r="J797" s="52" t="s">
        <v>3</v>
      </c>
      <c r="K797" s="42" t="s">
        <v>2172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</row>
    <row r="798" spans="2:59" s="9" customFormat="1" ht="90" x14ac:dyDescent="0.25">
      <c r="B798" s="36">
        <v>814</v>
      </c>
      <c r="C798" s="36" t="s">
        <v>1816</v>
      </c>
      <c r="D798" s="36" t="s">
        <v>1817</v>
      </c>
      <c r="E798" s="36" t="s">
        <v>2339</v>
      </c>
      <c r="F798" s="39">
        <v>11646.6</v>
      </c>
      <c r="G798" s="47" t="s">
        <v>1862</v>
      </c>
      <c r="H798" s="41" t="s">
        <v>56</v>
      </c>
      <c r="I798" s="52" t="s">
        <v>24</v>
      </c>
      <c r="J798" s="46" t="s">
        <v>398</v>
      </c>
      <c r="K798" s="42" t="s">
        <v>1863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</row>
    <row r="799" spans="2:59" s="9" customFormat="1" ht="45" x14ac:dyDescent="0.25">
      <c r="B799" s="36">
        <v>815</v>
      </c>
      <c r="C799" s="36" t="s">
        <v>265</v>
      </c>
      <c r="D799" s="36" t="s">
        <v>110</v>
      </c>
      <c r="E799" s="36" t="s">
        <v>2296</v>
      </c>
      <c r="F799" s="39">
        <v>7260</v>
      </c>
      <c r="G799" s="47" t="s">
        <v>1864</v>
      </c>
      <c r="H799" s="41" t="s">
        <v>56</v>
      </c>
      <c r="I799" s="52" t="s">
        <v>24</v>
      </c>
      <c r="J799" s="52" t="s">
        <v>3</v>
      </c>
      <c r="K799" s="42" t="s">
        <v>2173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</row>
    <row r="800" spans="2:59" s="9" customFormat="1" ht="45" x14ac:dyDescent="0.25">
      <c r="B800" s="36">
        <v>816</v>
      </c>
      <c r="C800" s="36" t="s">
        <v>897</v>
      </c>
      <c r="D800" s="36" t="s">
        <v>232</v>
      </c>
      <c r="E800" s="36" t="s">
        <v>1306</v>
      </c>
      <c r="F800" s="39">
        <v>3150</v>
      </c>
      <c r="G800" s="47" t="s">
        <v>1864</v>
      </c>
      <c r="H800" s="41" t="s">
        <v>56</v>
      </c>
      <c r="I800" s="52" t="s">
        <v>24</v>
      </c>
      <c r="J800" s="52" t="s">
        <v>3</v>
      </c>
      <c r="K800" s="42" t="s">
        <v>2174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</row>
    <row r="801" spans="2:59" s="9" customFormat="1" ht="45" x14ac:dyDescent="0.25">
      <c r="B801" s="36">
        <v>817</v>
      </c>
      <c r="C801" s="36" t="s">
        <v>861</v>
      </c>
      <c r="D801" s="36" t="s">
        <v>232</v>
      </c>
      <c r="E801" s="36" t="s">
        <v>2293</v>
      </c>
      <c r="F801" s="39">
        <v>2375</v>
      </c>
      <c r="G801" s="47" t="s">
        <v>1864</v>
      </c>
      <c r="H801" s="41" t="s">
        <v>56</v>
      </c>
      <c r="I801" s="52" t="s">
        <v>24</v>
      </c>
      <c r="J801" s="52" t="s">
        <v>3</v>
      </c>
      <c r="K801" s="42" t="s">
        <v>2175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</row>
    <row r="802" spans="2:59" s="9" customFormat="1" ht="45" x14ac:dyDescent="0.25">
      <c r="B802" s="36">
        <v>818</v>
      </c>
      <c r="C802" s="36" t="s">
        <v>120</v>
      </c>
      <c r="D802" s="36" t="s">
        <v>1156</v>
      </c>
      <c r="E802" s="36" t="s">
        <v>2299</v>
      </c>
      <c r="F802" s="39">
        <v>13340</v>
      </c>
      <c r="G802" s="47" t="s">
        <v>1864</v>
      </c>
      <c r="H802" s="41" t="s">
        <v>56</v>
      </c>
      <c r="I802" s="52" t="s">
        <v>24</v>
      </c>
      <c r="J802" s="52" t="s">
        <v>3</v>
      </c>
      <c r="K802" s="42" t="s">
        <v>2176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</row>
    <row r="803" spans="2:59" s="9" customFormat="1" ht="45" x14ac:dyDescent="0.25">
      <c r="B803" s="36">
        <v>819</v>
      </c>
      <c r="C803" s="36" t="s">
        <v>132</v>
      </c>
      <c r="D803" s="36" t="s">
        <v>1156</v>
      </c>
      <c r="E803" s="36" t="s">
        <v>2294</v>
      </c>
      <c r="F803" s="39">
        <v>8820</v>
      </c>
      <c r="G803" s="47" t="s">
        <v>1864</v>
      </c>
      <c r="H803" s="41" t="s">
        <v>56</v>
      </c>
      <c r="I803" s="52" t="s">
        <v>24</v>
      </c>
      <c r="J803" s="52" t="s">
        <v>3</v>
      </c>
      <c r="K803" s="42" t="s">
        <v>2177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</row>
    <row r="804" spans="2:59" s="9" customFormat="1" ht="45" x14ac:dyDescent="0.25">
      <c r="B804" s="36">
        <v>820</v>
      </c>
      <c r="C804" s="36" t="s">
        <v>1818</v>
      </c>
      <c r="D804" s="36" t="s">
        <v>1156</v>
      </c>
      <c r="E804" s="36" t="s">
        <v>2353</v>
      </c>
      <c r="F804" s="39">
        <v>5760</v>
      </c>
      <c r="G804" s="47" t="s">
        <v>1864</v>
      </c>
      <c r="H804" s="41" t="s">
        <v>56</v>
      </c>
      <c r="I804" s="52" t="s">
        <v>24</v>
      </c>
      <c r="J804" s="52" t="s">
        <v>3</v>
      </c>
      <c r="K804" s="42" t="s">
        <v>2178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</row>
    <row r="805" spans="2:59" s="9" customFormat="1" ht="45" x14ac:dyDescent="0.25">
      <c r="B805" s="36">
        <v>821</v>
      </c>
      <c r="C805" s="36" t="s">
        <v>1811</v>
      </c>
      <c r="D805" s="36" t="s">
        <v>108</v>
      </c>
      <c r="E805" s="36">
        <v>359.7</v>
      </c>
      <c r="F805" s="39">
        <v>360</v>
      </c>
      <c r="G805" s="47" t="s">
        <v>1864</v>
      </c>
      <c r="H805" s="41" t="s">
        <v>56</v>
      </c>
      <c r="I805" s="52" t="s">
        <v>24</v>
      </c>
      <c r="J805" s="52" t="s">
        <v>3</v>
      </c>
      <c r="K805" s="42" t="s">
        <v>2179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</row>
    <row r="806" spans="2:59" s="9" customFormat="1" ht="45" x14ac:dyDescent="0.25">
      <c r="B806" s="36">
        <v>822</v>
      </c>
      <c r="C806" s="36" t="s">
        <v>948</v>
      </c>
      <c r="D806" s="36" t="s">
        <v>108</v>
      </c>
      <c r="E806" s="36">
        <v>900</v>
      </c>
      <c r="F806" s="39">
        <v>900</v>
      </c>
      <c r="G806" s="47" t="s">
        <v>1864</v>
      </c>
      <c r="H806" s="41" t="s">
        <v>56</v>
      </c>
      <c r="I806" s="52" t="s">
        <v>24</v>
      </c>
      <c r="J806" s="52" t="s">
        <v>3</v>
      </c>
      <c r="K806" s="42" t="s">
        <v>2180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</row>
    <row r="807" spans="2:59" s="9" customFormat="1" ht="45" x14ac:dyDescent="0.25">
      <c r="B807" s="36">
        <v>823</v>
      </c>
      <c r="C807" s="36" t="s">
        <v>1819</v>
      </c>
      <c r="D807" s="36" t="s">
        <v>108</v>
      </c>
      <c r="E807" s="36">
        <v>900</v>
      </c>
      <c r="F807" s="39">
        <v>900</v>
      </c>
      <c r="G807" s="47" t="s">
        <v>1864</v>
      </c>
      <c r="H807" s="41" t="s">
        <v>56</v>
      </c>
      <c r="I807" s="52" t="s">
        <v>24</v>
      </c>
      <c r="J807" s="52" t="s">
        <v>3</v>
      </c>
      <c r="K807" s="42" t="s">
        <v>2181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</row>
    <row r="808" spans="2:59" s="3" customFormat="1" ht="45" x14ac:dyDescent="0.25">
      <c r="B808" s="36">
        <v>824</v>
      </c>
      <c r="C808" s="36" t="s">
        <v>1820</v>
      </c>
      <c r="D808" s="36" t="s">
        <v>108</v>
      </c>
      <c r="E808" s="36" t="s">
        <v>2568</v>
      </c>
      <c r="F808" s="39">
        <v>1080</v>
      </c>
      <c r="G808" s="47" t="s">
        <v>1864</v>
      </c>
      <c r="H808" s="41" t="s">
        <v>56</v>
      </c>
      <c r="I808" s="52" t="s">
        <v>24</v>
      </c>
      <c r="J808" s="52" t="s">
        <v>3</v>
      </c>
      <c r="K808" s="42" t="s">
        <v>2182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</row>
    <row r="809" spans="2:59" s="9" customFormat="1" ht="45" x14ac:dyDescent="0.25">
      <c r="B809" s="36">
        <v>825</v>
      </c>
      <c r="C809" s="36" t="s">
        <v>1821</v>
      </c>
      <c r="D809" s="36" t="s">
        <v>108</v>
      </c>
      <c r="E809" s="36">
        <v>900</v>
      </c>
      <c r="F809" s="39">
        <v>900</v>
      </c>
      <c r="G809" s="47" t="s">
        <v>1864</v>
      </c>
      <c r="H809" s="41" t="s">
        <v>56</v>
      </c>
      <c r="I809" s="52" t="s">
        <v>24</v>
      </c>
      <c r="J809" s="52" t="s">
        <v>3</v>
      </c>
      <c r="K809" s="42" t="s">
        <v>2183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</row>
    <row r="810" spans="2:59" s="9" customFormat="1" ht="45" x14ac:dyDescent="0.25">
      <c r="B810" s="36">
        <v>826</v>
      </c>
      <c r="C810" s="36" t="s">
        <v>1333</v>
      </c>
      <c r="D810" s="36" t="s">
        <v>108</v>
      </c>
      <c r="E810" s="36">
        <v>900.9</v>
      </c>
      <c r="F810" s="39">
        <v>1080</v>
      </c>
      <c r="G810" s="47" t="s">
        <v>1864</v>
      </c>
      <c r="H810" s="41" t="s">
        <v>56</v>
      </c>
      <c r="I810" s="52" t="s">
        <v>24</v>
      </c>
      <c r="J810" s="52" t="s">
        <v>3</v>
      </c>
      <c r="K810" s="42" t="s">
        <v>2184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</row>
    <row r="811" spans="2:59" s="9" customFormat="1" ht="45" x14ac:dyDescent="0.25">
      <c r="B811" s="36">
        <v>827</v>
      </c>
      <c r="C811" s="36" t="s">
        <v>1822</v>
      </c>
      <c r="D811" s="36" t="s">
        <v>108</v>
      </c>
      <c r="E811" s="36">
        <v>900</v>
      </c>
      <c r="F811" s="39">
        <v>900</v>
      </c>
      <c r="G811" s="47" t="s">
        <v>1864</v>
      </c>
      <c r="H811" s="41" t="s">
        <v>56</v>
      </c>
      <c r="I811" s="52" t="s">
        <v>24</v>
      </c>
      <c r="J811" s="52" t="s">
        <v>3</v>
      </c>
      <c r="K811" s="42" t="s">
        <v>2185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</row>
    <row r="812" spans="2:59" s="9" customFormat="1" ht="45" x14ac:dyDescent="0.25">
      <c r="B812" s="36">
        <v>828</v>
      </c>
      <c r="C812" s="36" t="s">
        <v>1823</v>
      </c>
      <c r="D812" s="36" t="s">
        <v>108</v>
      </c>
      <c r="E812" s="36">
        <v>999.9</v>
      </c>
      <c r="F812" s="39">
        <v>1020</v>
      </c>
      <c r="G812" s="47" t="s">
        <v>1864</v>
      </c>
      <c r="H812" s="41" t="s">
        <v>56</v>
      </c>
      <c r="I812" s="52" t="s">
        <v>24</v>
      </c>
      <c r="J812" s="52" t="s">
        <v>3</v>
      </c>
      <c r="K812" s="42" t="s">
        <v>2186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</row>
    <row r="813" spans="2:59" s="9" customFormat="1" ht="45" x14ac:dyDescent="0.25">
      <c r="B813" s="36">
        <v>829</v>
      </c>
      <c r="C813" s="36" t="s">
        <v>1824</v>
      </c>
      <c r="D813" s="36" t="s">
        <v>108</v>
      </c>
      <c r="E813" s="36">
        <v>250</v>
      </c>
      <c r="F813" s="39">
        <v>250</v>
      </c>
      <c r="G813" s="47" t="s">
        <v>1864</v>
      </c>
      <c r="H813" s="41" t="s">
        <v>56</v>
      </c>
      <c r="I813" s="52" t="s">
        <v>24</v>
      </c>
      <c r="J813" s="52" t="s">
        <v>3</v>
      </c>
      <c r="K813" s="42" t="s">
        <v>2187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</row>
    <row r="814" spans="2:59" s="9" customFormat="1" ht="45" x14ac:dyDescent="0.25">
      <c r="B814" s="36">
        <v>831</v>
      </c>
      <c r="C814" s="36" t="s">
        <v>1825</v>
      </c>
      <c r="D814" s="36" t="s">
        <v>108</v>
      </c>
      <c r="E814" s="36">
        <v>196.35</v>
      </c>
      <c r="F814" s="39">
        <v>450</v>
      </c>
      <c r="G814" s="47" t="s">
        <v>1865</v>
      </c>
      <c r="H814" s="41" t="s">
        <v>56</v>
      </c>
      <c r="I814" s="52" t="s">
        <v>24</v>
      </c>
      <c r="J814" s="52" t="s">
        <v>3</v>
      </c>
      <c r="K814" s="71" t="s">
        <v>2188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</row>
    <row r="815" spans="2:59" s="9" customFormat="1" ht="45" x14ac:dyDescent="0.25">
      <c r="B815" s="36">
        <v>832</v>
      </c>
      <c r="C815" s="36" t="s">
        <v>352</v>
      </c>
      <c r="D815" s="36" t="s">
        <v>108</v>
      </c>
      <c r="E815" s="36" t="s">
        <v>2286</v>
      </c>
      <c r="F815" s="39">
        <v>1360</v>
      </c>
      <c r="G815" s="47" t="s">
        <v>1865</v>
      </c>
      <c r="H815" s="41" t="s">
        <v>56</v>
      </c>
      <c r="I815" s="52" t="s">
        <v>24</v>
      </c>
      <c r="J815" s="52" t="s">
        <v>3</v>
      </c>
      <c r="K815" s="42" t="s">
        <v>2189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</row>
    <row r="816" spans="2:59" s="9" customFormat="1" ht="45" x14ac:dyDescent="0.25">
      <c r="B816" s="36">
        <v>834</v>
      </c>
      <c r="C816" s="36" t="s">
        <v>187</v>
      </c>
      <c r="D816" s="36" t="s">
        <v>108</v>
      </c>
      <c r="E816" s="36" t="s">
        <v>2285</v>
      </c>
      <c r="F816" s="39">
        <v>1360</v>
      </c>
      <c r="G816" s="47" t="s">
        <v>1865</v>
      </c>
      <c r="H816" s="41" t="s">
        <v>56</v>
      </c>
      <c r="I816" s="52" t="s">
        <v>24</v>
      </c>
      <c r="J816" s="52" t="s">
        <v>3</v>
      </c>
      <c r="K816" s="42" t="s">
        <v>2190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</row>
    <row r="817" spans="2:59" s="9" customFormat="1" ht="45" x14ac:dyDescent="0.25">
      <c r="B817" s="36">
        <v>835</v>
      </c>
      <c r="C817" s="36" t="s">
        <v>1826</v>
      </c>
      <c r="D817" s="36" t="s">
        <v>108</v>
      </c>
      <c r="E817" s="36" t="s">
        <v>2288</v>
      </c>
      <c r="F817" s="39">
        <v>1700</v>
      </c>
      <c r="G817" s="47" t="s">
        <v>1865</v>
      </c>
      <c r="H817" s="41" t="s">
        <v>56</v>
      </c>
      <c r="I817" s="52" t="s">
        <v>24</v>
      </c>
      <c r="J817" s="52" t="s">
        <v>3</v>
      </c>
      <c r="K817" s="42" t="s">
        <v>2191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</row>
    <row r="818" spans="2:59" s="9" customFormat="1" ht="45" x14ac:dyDescent="0.25">
      <c r="B818" s="36">
        <v>836</v>
      </c>
      <c r="C818" s="36" t="s">
        <v>109</v>
      </c>
      <c r="D818" s="36" t="s">
        <v>108</v>
      </c>
      <c r="E818" s="36" t="s">
        <v>1498</v>
      </c>
      <c r="F818" s="39">
        <v>6000</v>
      </c>
      <c r="G818" s="47" t="s">
        <v>1865</v>
      </c>
      <c r="H818" s="41" t="s">
        <v>56</v>
      </c>
      <c r="I818" s="52" t="s">
        <v>24</v>
      </c>
      <c r="J818" s="52" t="s">
        <v>3</v>
      </c>
      <c r="K818" s="42" t="s">
        <v>2192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</row>
    <row r="819" spans="2:59" s="9" customFormat="1" ht="45" x14ac:dyDescent="0.25">
      <c r="B819" s="36">
        <v>837</v>
      </c>
      <c r="C819" s="36" t="s">
        <v>1827</v>
      </c>
      <c r="D819" s="36" t="s">
        <v>1156</v>
      </c>
      <c r="E819" s="36" t="s">
        <v>1112</v>
      </c>
      <c r="F819" s="39">
        <v>2800</v>
      </c>
      <c r="G819" s="47" t="s">
        <v>1865</v>
      </c>
      <c r="H819" s="41" t="s">
        <v>56</v>
      </c>
      <c r="I819" s="52" t="s">
        <v>24</v>
      </c>
      <c r="J819" s="52" t="s">
        <v>3</v>
      </c>
      <c r="K819" s="42" t="s">
        <v>2193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</row>
    <row r="820" spans="2:59" s="9" customFormat="1" ht="45" x14ac:dyDescent="0.25">
      <c r="B820" s="36">
        <v>838</v>
      </c>
      <c r="C820" s="36" t="s">
        <v>1826</v>
      </c>
      <c r="D820" s="36" t="s">
        <v>1156</v>
      </c>
      <c r="E820" s="36" t="s">
        <v>2287</v>
      </c>
      <c r="F820" s="39">
        <v>2720</v>
      </c>
      <c r="G820" s="47" t="s">
        <v>1865</v>
      </c>
      <c r="H820" s="41" t="s">
        <v>56</v>
      </c>
      <c r="I820" s="52" t="s">
        <v>24</v>
      </c>
      <c r="J820" s="52" t="s">
        <v>3</v>
      </c>
      <c r="K820" s="42" t="s">
        <v>2194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</row>
    <row r="821" spans="2:59" s="9" customFormat="1" ht="45" x14ac:dyDescent="0.25">
      <c r="B821" s="36">
        <v>839</v>
      </c>
      <c r="C821" s="36" t="s">
        <v>1827</v>
      </c>
      <c r="D821" s="36" t="s">
        <v>108</v>
      </c>
      <c r="E821" s="36">
        <f>781+363.5+617+291+120</f>
        <v>2172.5</v>
      </c>
      <c r="F821" s="39">
        <v>3000</v>
      </c>
      <c r="G821" s="47" t="s">
        <v>1865</v>
      </c>
      <c r="H821" s="41" t="s">
        <v>56</v>
      </c>
      <c r="I821" s="52" t="s">
        <v>24</v>
      </c>
      <c r="J821" s="52" t="s">
        <v>3</v>
      </c>
      <c r="K821" s="42" t="s">
        <v>2195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</row>
    <row r="822" spans="2:59" s="9" customFormat="1" ht="45" x14ac:dyDescent="0.25">
      <c r="B822" s="36">
        <v>840</v>
      </c>
      <c r="C822" s="36" t="s">
        <v>1827</v>
      </c>
      <c r="D822" s="36" t="s">
        <v>108</v>
      </c>
      <c r="E822" s="36" t="s">
        <v>2289</v>
      </c>
      <c r="F822" s="39">
        <v>1700</v>
      </c>
      <c r="G822" s="47" t="s">
        <v>1865</v>
      </c>
      <c r="H822" s="41" t="s">
        <v>56</v>
      </c>
      <c r="I822" s="52" t="s">
        <v>24</v>
      </c>
      <c r="J822" s="52" t="s">
        <v>3</v>
      </c>
      <c r="K822" s="42" t="s">
        <v>2196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</row>
    <row r="823" spans="2:59" s="9" customFormat="1" ht="45" x14ac:dyDescent="0.25">
      <c r="B823" s="36">
        <v>841</v>
      </c>
      <c r="C823" s="36" t="s">
        <v>329</v>
      </c>
      <c r="D823" s="36" t="s">
        <v>108</v>
      </c>
      <c r="E823" s="36">
        <v>830</v>
      </c>
      <c r="F823" s="39">
        <v>1700</v>
      </c>
      <c r="G823" s="47" t="s">
        <v>1865</v>
      </c>
      <c r="H823" s="41" t="s">
        <v>56</v>
      </c>
      <c r="I823" s="52" t="s">
        <v>24</v>
      </c>
      <c r="J823" s="52" t="s">
        <v>3</v>
      </c>
      <c r="K823" s="42" t="s">
        <v>2197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</row>
    <row r="824" spans="2:59" s="9" customFormat="1" ht="45" x14ac:dyDescent="0.25">
      <c r="B824" s="36">
        <v>842</v>
      </c>
      <c r="C824" s="36" t="s">
        <v>1828</v>
      </c>
      <c r="D824" s="36" t="s">
        <v>108</v>
      </c>
      <c r="E824" s="36">
        <v>635</v>
      </c>
      <c r="F824" s="39">
        <v>1080</v>
      </c>
      <c r="G824" s="47" t="s">
        <v>1865</v>
      </c>
      <c r="H824" s="41" t="s">
        <v>56</v>
      </c>
      <c r="I824" s="52" t="s">
        <v>24</v>
      </c>
      <c r="J824" s="52" t="s">
        <v>3</v>
      </c>
      <c r="K824" s="42" t="s">
        <v>2198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</row>
    <row r="825" spans="2:59" s="9" customFormat="1" ht="45" x14ac:dyDescent="0.25">
      <c r="B825" s="36">
        <v>843</v>
      </c>
      <c r="C825" s="36" t="s">
        <v>277</v>
      </c>
      <c r="D825" s="36" t="s">
        <v>278</v>
      </c>
      <c r="E825" s="36" t="s">
        <v>2308</v>
      </c>
      <c r="F825" s="39" t="s">
        <v>2308</v>
      </c>
      <c r="G825" s="47" t="s">
        <v>1865</v>
      </c>
      <c r="H825" s="41" t="s">
        <v>56</v>
      </c>
      <c r="I825" s="52" t="s">
        <v>24</v>
      </c>
      <c r="J825" s="52" t="s">
        <v>3</v>
      </c>
      <c r="K825" s="42" t="s">
        <v>1976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</row>
    <row r="826" spans="2:59" s="9" customFormat="1" ht="45" x14ac:dyDescent="0.25">
      <c r="B826" s="36">
        <v>844</v>
      </c>
      <c r="C826" s="36" t="s">
        <v>1371</v>
      </c>
      <c r="D826" s="36" t="s">
        <v>278</v>
      </c>
      <c r="E826" s="36" t="s">
        <v>2354</v>
      </c>
      <c r="F826" s="39">
        <v>3750</v>
      </c>
      <c r="G826" s="47" t="s">
        <v>1865</v>
      </c>
      <c r="H826" s="41" t="s">
        <v>56</v>
      </c>
      <c r="I826" s="52" t="s">
        <v>24</v>
      </c>
      <c r="J826" s="52" t="s">
        <v>3</v>
      </c>
      <c r="K826" s="42" t="s">
        <v>1977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</row>
    <row r="827" spans="2:59" s="9" customFormat="1" ht="45" x14ac:dyDescent="0.25">
      <c r="B827" s="36">
        <v>845</v>
      </c>
      <c r="C827" s="36" t="s">
        <v>1903</v>
      </c>
      <c r="D827" s="36" t="s">
        <v>278</v>
      </c>
      <c r="E827" s="36" t="s">
        <v>2303</v>
      </c>
      <c r="F827" s="39">
        <v>6529</v>
      </c>
      <c r="G827" s="47" t="s">
        <v>1865</v>
      </c>
      <c r="H827" s="41" t="s">
        <v>56</v>
      </c>
      <c r="I827" s="52" t="s">
        <v>24</v>
      </c>
      <c r="J827" s="52" t="s">
        <v>3</v>
      </c>
      <c r="K827" s="42" t="s">
        <v>1978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</row>
    <row r="828" spans="2:59" s="9" customFormat="1" ht="45" x14ac:dyDescent="0.25">
      <c r="B828" s="36">
        <v>846</v>
      </c>
      <c r="C828" s="36" t="s">
        <v>1829</v>
      </c>
      <c r="D828" s="36" t="s">
        <v>108</v>
      </c>
      <c r="E828" s="36">
        <v>259</v>
      </c>
      <c r="F828" s="39">
        <v>850</v>
      </c>
      <c r="G828" s="47" t="s">
        <v>1866</v>
      </c>
      <c r="H828" s="41" t="s">
        <v>56</v>
      </c>
      <c r="I828" s="52" t="s">
        <v>24</v>
      </c>
      <c r="J828" s="52" t="s">
        <v>3</v>
      </c>
      <c r="K828" s="42" t="s">
        <v>1979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</row>
    <row r="829" spans="2:59" s="9" customFormat="1" ht="45" x14ac:dyDescent="0.25">
      <c r="B829" s="36">
        <v>847</v>
      </c>
      <c r="C829" s="36" t="s">
        <v>1939</v>
      </c>
      <c r="D829" s="36" t="s">
        <v>1156</v>
      </c>
      <c r="E829" s="36">
        <v>900</v>
      </c>
      <c r="F829" s="39">
        <v>900</v>
      </c>
      <c r="G829" s="47" t="s">
        <v>1980</v>
      </c>
      <c r="H829" s="41" t="s">
        <v>56</v>
      </c>
      <c r="I829" s="52" t="s">
        <v>24</v>
      </c>
      <c r="J829" s="52" t="s">
        <v>3</v>
      </c>
      <c r="K829" s="42" t="s">
        <v>1981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</row>
    <row r="830" spans="2:59" s="9" customFormat="1" ht="45" x14ac:dyDescent="0.25">
      <c r="B830" s="36">
        <v>848</v>
      </c>
      <c r="C830" s="36" t="s">
        <v>1940</v>
      </c>
      <c r="D830" s="36" t="s">
        <v>1156</v>
      </c>
      <c r="E830" s="36" t="s">
        <v>1503</v>
      </c>
      <c r="F830" s="39">
        <v>2275</v>
      </c>
      <c r="G830" s="47" t="s">
        <v>1980</v>
      </c>
      <c r="H830" s="41" t="s">
        <v>56</v>
      </c>
      <c r="I830" s="52" t="s">
        <v>24</v>
      </c>
      <c r="J830" s="52" t="s">
        <v>3</v>
      </c>
      <c r="K830" s="42" t="s">
        <v>1982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</row>
    <row r="831" spans="2:59" s="9" customFormat="1" ht="45" x14ac:dyDescent="0.25">
      <c r="B831" s="36">
        <v>849</v>
      </c>
      <c r="C831" s="36" t="s">
        <v>1941</v>
      </c>
      <c r="D831" s="36" t="s">
        <v>232</v>
      </c>
      <c r="E831" s="36" t="s">
        <v>2351</v>
      </c>
      <c r="F831" s="39">
        <v>3610</v>
      </c>
      <c r="G831" s="47" t="s">
        <v>1980</v>
      </c>
      <c r="H831" s="41" t="s">
        <v>56</v>
      </c>
      <c r="I831" s="52" t="s">
        <v>24</v>
      </c>
      <c r="J831" s="52" t="s">
        <v>3</v>
      </c>
      <c r="K831" s="42" t="s">
        <v>1983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</row>
    <row r="832" spans="2:59" s="9" customFormat="1" ht="45" x14ac:dyDescent="0.25">
      <c r="B832" s="36">
        <v>850</v>
      </c>
      <c r="C832" s="36" t="s">
        <v>1941</v>
      </c>
      <c r="D832" s="36" t="s">
        <v>110</v>
      </c>
      <c r="E832" s="36" t="s">
        <v>2350</v>
      </c>
      <c r="F832" s="39">
        <v>5550</v>
      </c>
      <c r="G832" s="47" t="s">
        <v>1980</v>
      </c>
      <c r="H832" s="41" t="s">
        <v>56</v>
      </c>
      <c r="I832" s="52" t="s">
        <v>24</v>
      </c>
      <c r="J832" s="52" t="s">
        <v>3</v>
      </c>
      <c r="K832" s="42" t="s">
        <v>1984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</row>
    <row r="833" spans="2:59" s="9" customFormat="1" ht="45" x14ac:dyDescent="0.25">
      <c r="B833" s="36">
        <v>851</v>
      </c>
      <c r="C833" s="36" t="s">
        <v>1942</v>
      </c>
      <c r="D833" s="36" t="s">
        <v>1943</v>
      </c>
      <c r="E833" s="39">
        <v>210</v>
      </c>
      <c r="F833" s="39">
        <v>210</v>
      </c>
      <c r="G833" s="47" t="s">
        <v>1980</v>
      </c>
      <c r="H833" s="41" t="s">
        <v>56</v>
      </c>
      <c r="I833" s="52" t="s">
        <v>24</v>
      </c>
      <c r="J833" s="46" t="s">
        <v>826</v>
      </c>
      <c r="K833" s="42" t="s">
        <v>1985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</row>
    <row r="834" spans="2:59" s="9" customFormat="1" ht="45" x14ac:dyDescent="0.25">
      <c r="B834" s="36">
        <v>852</v>
      </c>
      <c r="C834" s="36" t="s">
        <v>1944</v>
      </c>
      <c r="D834" s="36" t="s">
        <v>232</v>
      </c>
      <c r="E834" s="36" t="s">
        <v>2319</v>
      </c>
      <c r="F834" s="39">
        <v>1888</v>
      </c>
      <c r="G834" s="47" t="s">
        <v>1986</v>
      </c>
      <c r="H834" s="41" t="s">
        <v>56</v>
      </c>
      <c r="I834" s="52" t="s">
        <v>24</v>
      </c>
      <c r="J834" s="52" t="s">
        <v>3</v>
      </c>
      <c r="K834" s="42" t="s">
        <v>1987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</row>
    <row r="835" spans="2:59" s="9" customFormat="1" ht="45" x14ac:dyDescent="0.25">
      <c r="B835" s="36">
        <v>853</v>
      </c>
      <c r="C835" s="36" t="s">
        <v>1822</v>
      </c>
      <c r="D835" s="36" t="s">
        <v>108</v>
      </c>
      <c r="E835" s="36">
        <v>50</v>
      </c>
      <c r="F835" s="39">
        <v>50</v>
      </c>
      <c r="G835" s="47" t="s">
        <v>1986</v>
      </c>
      <c r="H835" s="41" t="s">
        <v>56</v>
      </c>
      <c r="I835" s="52" t="s">
        <v>24</v>
      </c>
      <c r="J835" s="52" t="s">
        <v>3</v>
      </c>
      <c r="K835" s="42" t="s">
        <v>1988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</row>
    <row r="836" spans="2:59" s="9" customFormat="1" ht="45" x14ac:dyDescent="0.25">
      <c r="B836" s="36">
        <v>854</v>
      </c>
      <c r="C836" s="36" t="s">
        <v>1366</v>
      </c>
      <c r="D836" s="36" t="s">
        <v>108</v>
      </c>
      <c r="E836" s="36">
        <v>50</v>
      </c>
      <c r="F836" s="39">
        <v>50</v>
      </c>
      <c r="G836" s="47" t="s">
        <v>1986</v>
      </c>
      <c r="H836" s="41" t="s">
        <v>56</v>
      </c>
      <c r="I836" s="52" t="s">
        <v>24</v>
      </c>
      <c r="J836" s="52" t="s">
        <v>3</v>
      </c>
      <c r="K836" s="42" t="s">
        <v>1989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</row>
    <row r="837" spans="2:59" s="9" customFormat="1" ht="45" x14ac:dyDescent="0.25">
      <c r="B837" s="36">
        <v>855</v>
      </c>
      <c r="C837" s="36" t="s">
        <v>896</v>
      </c>
      <c r="D837" s="36" t="s">
        <v>108</v>
      </c>
      <c r="E837" s="36">
        <v>58.65</v>
      </c>
      <c r="F837" s="39">
        <v>60</v>
      </c>
      <c r="G837" s="47" t="s">
        <v>1986</v>
      </c>
      <c r="H837" s="41" t="s">
        <v>56</v>
      </c>
      <c r="I837" s="52" t="s">
        <v>24</v>
      </c>
      <c r="J837" s="52" t="s">
        <v>3</v>
      </c>
      <c r="K837" s="42" t="s">
        <v>1990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</row>
    <row r="838" spans="2:59" s="9" customFormat="1" ht="45" x14ac:dyDescent="0.25">
      <c r="B838" s="36">
        <v>856</v>
      </c>
      <c r="C838" s="36" t="s">
        <v>1944</v>
      </c>
      <c r="D838" s="36" t="s">
        <v>110</v>
      </c>
      <c r="E838" s="36" t="s">
        <v>2312</v>
      </c>
      <c r="F838" s="39">
        <v>1103.3</v>
      </c>
      <c r="G838" s="47" t="s">
        <v>1986</v>
      </c>
      <c r="H838" s="41" t="s">
        <v>56</v>
      </c>
      <c r="I838" s="52" t="s">
        <v>24</v>
      </c>
      <c r="J838" s="52" t="s">
        <v>3</v>
      </c>
      <c r="K838" s="42" t="s">
        <v>1991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</row>
    <row r="839" spans="2:59" s="9" customFormat="1" ht="45" x14ac:dyDescent="0.25">
      <c r="B839" s="36">
        <v>857</v>
      </c>
      <c r="C839" s="36" t="s">
        <v>1652</v>
      </c>
      <c r="D839" s="36" t="s">
        <v>108</v>
      </c>
      <c r="E839" s="36">
        <v>238.62</v>
      </c>
      <c r="F839" s="39">
        <v>240</v>
      </c>
      <c r="G839" s="47" t="s">
        <v>1992</v>
      </c>
      <c r="H839" s="41" t="s">
        <v>56</v>
      </c>
      <c r="I839" s="52" t="s">
        <v>24</v>
      </c>
      <c r="J839" s="52" t="s">
        <v>3</v>
      </c>
      <c r="K839" s="42" t="s">
        <v>1993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</row>
    <row r="840" spans="2:59" s="9" customFormat="1" ht="45" x14ac:dyDescent="0.25">
      <c r="B840" s="36">
        <v>858</v>
      </c>
      <c r="C840" s="36" t="s">
        <v>1323</v>
      </c>
      <c r="D840" s="36" t="s">
        <v>1156</v>
      </c>
      <c r="E840" s="36">
        <v>968</v>
      </c>
      <c r="F840" s="39">
        <v>968</v>
      </c>
      <c r="G840" s="47" t="s">
        <v>1992</v>
      </c>
      <c r="H840" s="41" t="s">
        <v>56</v>
      </c>
      <c r="I840" s="52" t="s">
        <v>24</v>
      </c>
      <c r="J840" s="52" t="s">
        <v>3</v>
      </c>
      <c r="K840" s="42" t="s">
        <v>1994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</row>
    <row r="841" spans="2:59" s="9" customFormat="1" ht="45" x14ac:dyDescent="0.25">
      <c r="B841" s="36">
        <v>859</v>
      </c>
      <c r="C841" s="36" t="s">
        <v>1659</v>
      </c>
      <c r="D841" s="36" t="s">
        <v>108</v>
      </c>
      <c r="E841" s="36">
        <v>217.92</v>
      </c>
      <c r="F841" s="39">
        <v>240</v>
      </c>
      <c r="G841" s="47" t="s">
        <v>1992</v>
      </c>
      <c r="H841" s="41" t="s">
        <v>56</v>
      </c>
      <c r="I841" s="52" t="s">
        <v>24</v>
      </c>
      <c r="J841" s="52" t="s">
        <v>3</v>
      </c>
      <c r="K841" s="42" t="s">
        <v>1995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</row>
    <row r="842" spans="2:59" s="9" customFormat="1" ht="45" x14ac:dyDescent="0.25">
      <c r="B842" s="36">
        <v>860</v>
      </c>
      <c r="C842" s="36" t="s">
        <v>874</v>
      </c>
      <c r="D842" s="36" t="s">
        <v>1156</v>
      </c>
      <c r="E842" s="36" t="s">
        <v>2347</v>
      </c>
      <c r="F842" s="39">
        <v>1408</v>
      </c>
      <c r="G842" s="47" t="s">
        <v>1992</v>
      </c>
      <c r="H842" s="41" t="s">
        <v>56</v>
      </c>
      <c r="I842" s="52" t="s">
        <v>24</v>
      </c>
      <c r="J842" s="52" t="s">
        <v>3</v>
      </c>
      <c r="K842" s="42" t="s">
        <v>1996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</row>
    <row r="843" spans="2:59" s="9" customFormat="1" ht="31.5" customHeight="1" x14ac:dyDescent="0.25">
      <c r="B843" s="36">
        <v>861</v>
      </c>
      <c r="C843" s="36" t="s">
        <v>1343</v>
      </c>
      <c r="D843" s="36" t="s">
        <v>232</v>
      </c>
      <c r="E843" s="36" t="s">
        <v>2304</v>
      </c>
      <c r="F843" s="39">
        <v>2875</v>
      </c>
      <c r="G843" s="47" t="s">
        <v>1992</v>
      </c>
      <c r="H843" s="41" t="s">
        <v>834</v>
      </c>
      <c r="I843" s="52" t="s">
        <v>24</v>
      </c>
      <c r="J843" s="52" t="s">
        <v>3</v>
      </c>
      <c r="K843" s="42" t="s">
        <v>1997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</row>
    <row r="844" spans="2:59" s="9" customFormat="1" ht="45" x14ac:dyDescent="0.25">
      <c r="B844" s="36">
        <v>862</v>
      </c>
      <c r="C844" s="36" t="s">
        <v>1343</v>
      </c>
      <c r="D844" s="36" t="s">
        <v>110</v>
      </c>
      <c r="E844" s="36" t="s">
        <v>2313</v>
      </c>
      <c r="F844" s="39">
        <v>3850</v>
      </c>
      <c r="G844" s="47" t="s">
        <v>1992</v>
      </c>
      <c r="H844" s="41" t="s">
        <v>56</v>
      </c>
      <c r="I844" s="52" t="s">
        <v>24</v>
      </c>
      <c r="J844" s="52" t="s">
        <v>3</v>
      </c>
      <c r="K844" s="42" t="s">
        <v>1998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</row>
    <row r="845" spans="2:59" s="9" customFormat="1" ht="45" x14ac:dyDescent="0.25">
      <c r="B845" s="36">
        <v>863</v>
      </c>
      <c r="C845" s="36" t="s">
        <v>882</v>
      </c>
      <c r="D845" s="36" t="s">
        <v>108</v>
      </c>
      <c r="E845" s="36">
        <v>195.25</v>
      </c>
      <c r="F845" s="39">
        <v>240</v>
      </c>
      <c r="G845" s="47" t="s">
        <v>1992</v>
      </c>
      <c r="H845" s="41" t="s">
        <v>56</v>
      </c>
      <c r="I845" s="52" t="s">
        <v>24</v>
      </c>
      <c r="J845" s="52" t="s">
        <v>3</v>
      </c>
      <c r="K845" s="42" t="s">
        <v>1999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</row>
    <row r="846" spans="2:59" s="9" customFormat="1" ht="45" x14ac:dyDescent="0.25">
      <c r="B846" s="36">
        <v>865</v>
      </c>
      <c r="C846" s="36" t="s">
        <v>896</v>
      </c>
      <c r="D846" s="36" t="s">
        <v>108</v>
      </c>
      <c r="E846" s="36">
        <v>344</v>
      </c>
      <c r="F846" s="39">
        <v>350</v>
      </c>
      <c r="G846" s="47" t="s">
        <v>1992</v>
      </c>
      <c r="H846" s="41" t="s">
        <v>56</v>
      </c>
      <c r="I846" s="52" t="s">
        <v>24</v>
      </c>
      <c r="J846" s="52" t="s">
        <v>3</v>
      </c>
      <c r="K846" s="42" t="s">
        <v>2000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</row>
    <row r="847" spans="2:59" s="9" customFormat="1" ht="45" x14ac:dyDescent="0.25">
      <c r="B847" s="36">
        <v>866</v>
      </c>
      <c r="C847" s="36" t="s">
        <v>1603</v>
      </c>
      <c r="D847" s="36" t="s">
        <v>110</v>
      </c>
      <c r="E847" s="36" t="s">
        <v>444</v>
      </c>
      <c r="F847" s="39">
        <v>1550</v>
      </c>
      <c r="G847" s="47" t="s">
        <v>1992</v>
      </c>
      <c r="H847" s="41" t="s">
        <v>56</v>
      </c>
      <c r="I847" s="52" t="s">
        <v>24</v>
      </c>
      <c r="J847" s="52" t="s">
        <v>3</v>
      </c>
      <c r="K847" s="42" t="s">
        <v>2001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</row>
    <row r="848" spans="2:59" s="9" customFormat="1" ht="45" x14ac:dyDescent="0.25">
      <c r="B848" s="36">
        <v>867</v>
      </c>
      <c r="C848" s="36" t="s">
        <v>1603</v>
      </c>
      <c r="D848" s="36" t="s">
        <v>232</v>
      </c>
      <c r="E848" s="36" t="s">
        <v>2301</v>
      </c>
      <c r="F848" s="39">
        <v>1550</v>
      </c>
      <c r="G848" s="47" t="s">
        <v>1992</v>
      </c>
      <c r="H848" s="41" t="s">
        <v>56</v>
      </c>
      <c r="I848" s="52" t="s">
        <v>24</v>
      </c>
      <c r="J848" s="52" t="s">
        <v>3</v>
      </c>
      <c r="K848" s="42" t="s">
        <v>2002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</row>
    <row r="849" spans="2:59" s="9" customFormat="1" ht="45" x14ac:dyDescent="0.25">
      <c r="B849" s="36">
        <v>868</v>
      </c>
      <c r="C849" s="36" t="s">
        <v>120</v>
      </c>
      <c r="D849" s="36" t="s">
        <v>1156</v>
      </c>
      <c r="E849" s="36">
        <v>460</v>
      </c>
      <c r="F849" s="39">
        <v>460</v>
      </c>
      <c r="G849" s="47" t="s">
        <v>1992</v>
      </c>
      <c r="H849" s="41" t="s">
        <v>56</v>
      </c>
      <c r="I849" s="52" t="s">
        <v>24</v>
      </c>
      <c r="J849" s="52" t="s">
        <v>3</v>
      </c>
      <c r="K849" s="42" t="s">
        <v>2003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</row>
    <row r="850" spans="2:59" s="9" customFormat="1" ht="45" x14ac:dyDescent="0.25">
      <c r="B850" s="36">
        <v>869</v>
      </c>
      <c r="C850" s="36" t="s">
        <v>277</v>
      </c>
      <c r="D850" s="36" t="s">
        <v>278</v>
      </c>
      <c r="E850" s="36" t="s">
        <v>2321</v>
      </c>
      <c r="F850" s="39">
        <v>2555</v>
      </c>
      <c r="G850" s="47" t="s">
        <v>1992</v>
      </c>
      <c r="H850" s="41" t="s">
        <v>56</v>
      </c>
      <c r="I850" s="52" t="s">
        <v>24</v>
      </c>
      <c r="J850" s="52" t="s">
        <v>3</v>
      </c>
      <c r="K850" s="42" t="s">
        <v>2004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</row>
    <row r="851" spans="2:59" s="9" customFormat="1" ht="45" x14ac:dyDescent="0.25">
      <c r="B851" s="36">
        <v>870</v>
      </c>
      <c r="C851" s="36" t="s">
        <v>1903</v>
      </c>
      <c r="D851" s="36" t="s">
        <v>278</v>
      </c>
      <c r="E851" s="36" t="s">
        <v>2314</v>
      </c>
      <c r="F851" s="39">
        <v>5200</v>
      </c>
      <c r="G851" s="47" t="s">
        <v>2005</v>
      </c>
      <c r="H851" s="41" t="s">
        <v>56</v>
      </c>
      <c r="I851" s="52" t="s">
        <v>24</v>
      </c>
      <c r="J851" s="52" t="s">
        <v>3</v>
      </c>
      <c r="K851" s="42" t="s">
        <v>2006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</row>
    <row r="852" spans="2:59" s="9" customFormat="1" ht="45" x14ac:dyDescent="0.25">
      <c r="B852" s="36">
        <v>871</v>
      </c>
      <c r="C852" s="36" t="s">
        <v>1903</v>
      </c>
      <c r="D852" s="36" t="s">
        <v>278</v>
      </c>
      <c r="E852" s="36" t="s">
        <v>2315</v>
      </c>
      <c r="F852" s="39">
        <v>12086</v>
      </c>
      <c r="G852" s="47" t="s">
        <v>2005</v>
      </c>
      <c r="H852" s="41" t="s">
        <v>56</v>
      </c>
      <c r="I852" s="52" t="s">
        <v>24</v>
      </c>
      <c r="J852" s="52" t="s">
        <v>3</v>
      </c>
      <c r="K852" s="42" t="s">
        <v>2007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</row>
    <row r="853" spans="2:59" s="9" customFormat="1" ht="90" x14ac:dyDescent="0.25">
      <c r="B853" s="36">
        <v>872</v>
      </c>
      <c r="C853" s="36" t="s">
        <v>498</v>
      </c>
      <c r="D853" s="36" t="s">
        <v>1945</v>
      </c>
      <c r="E853" s="36" t="s">
        <v>579</v>
      </c>
      <c r="F853" s="39">
        <v>1500</v>
      </c>
      <c r="G853" s="47" t="s">
        <v>2005</v>
      </c>
      <c r="H853" s="41" t="s">
        <v>56</v>
      </c>
      <c r="I853" s="52" t="s">
        <v>24</v>
      </c>
      <c r="J853" s="46" t="s">
        <v>398</v>
      </c>
      <c r="K853" s="42" t="s">
        <v>2008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</row>
    <row r="854" spans="2:59" s="9" customFormat="1" ht="45" x14ac:dyDescent="0.25">
      <c r="B854" s="36" t="s">
        <v>1946</v>
      </c>
      <c r="C854" s="36" t="s">
        <v>277</v>
      </c>
      <c r="D854" s="36" t="s">
        <v>278</v>
      </c>
      <c r="E854" s="36" t="s">
        <v>2318</v>
      </c>
      <c r="F854" s="39">
        <v>1455.9</v>
      </c>
      <c r="G854" s="47" t="s">
        <v>2005</v>
      </c>
      <c r="H854" s="41" t="s">
        <v>56</v>
      </c>
      <c r="I854" s="52" t="s">
        <v>24</v>
      </c>
      <c r="J854" s="46" t="s">
        <v>3</v>
      </c>
      <c r="K854" s="42" t="s">
        <v>2009</v>
      </c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</row>
    <row r="855" spans="2:59" s="3" customFormat="1" ht="45" x14ac:dyDescent="0.25">
      <c r="B855" s="36">
        <v>873</v>
      </c>
      <c r="C855" s="36" t="s">
        <v>1947</v>
      </c>
      <c r="D855" s="36" t="s">
        <v>232</v>
      </c>
      <c r="E855" s="36" t="s">
        <v>2310</v>
      </c>
      <c r="F855" s="39">
        <v>1625</v>
      </c>
      <c r="G855" s="47" t="s">
        <v>2010</v>
      </c>
      <c r="H855" s="41" t="s">
        <v>56</v>
      </c>
      <c r="I855" s="52" t="s">
        <v>24</v>
      </c>
      <c r="J855" s="46" t="s">
        <v>3</v>
      </c>
      <c r="K855" s="42" t="s">
        <v>2011</v>
      </c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</row>
    <row r="856" spans="2:59" s="3" customFormat="1" ht="45" x14ac:dyDescent="0.25">
      <c r="B856" s="36">
        <v>874</v>
      </c>
      <c r="C856" s="36" t="s">
        <v>272</v>
      </c>
      <c r="D856" s="36" t="s">
        <v>110</v>
      </c>
      <c r="E856" s="36" t="s">
        <v>2311</v>
      </c>
      <c r="F856" s="39">
        <v>1720</v>
      </c>
      <c r="G856" s="47" t="s">
        <v>2010</v>
      </c>
      <c r="H856" s="41" t="s">
        <v>56</v>
      </c>
      <c r="I856" s="52" t="s">
        <v>24</v>
      </c>
      <c r="J856" s="52" t="s">
        <v>3</v>
      </c>
      <c r="K856" s="42" t="s">
        <v>2012</v>
      </c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</row>
    <row r="857" spans="2:59" s="9" customFormat="1" ht="90" x14ac:dyDescent="0.25">
      <c r="B857" s="36">
        <v>875</v>
      </c>
      <c r="C857" s="36" t="s">
        <v>1948</v>
      </c>
      <c r="D857" s="36" t="s">
        <v>346</v>
      </c>
      <c r="E857" s="36" t="s">
        <v>2366</v>
      </c>
      <c r="F857" s="39">
        <v>56980</v>
      </c>
      <c r="G857" s="47" t="s">
        <v>2013</v>
      </c>
      <c r="H857" s="41" t="s">
        <v>56</v>
      </c>
      <c r="I857" s="52" t="s">
        <v>24</v>
      </c>
      <c r="J857" s="46" t="s">
        <v>398</v>
      </c>
      <c r="K857" s="42" t="s">
        <v>2014</v>
      </c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</row>
    <row r="858" spans="2:59" s="9" customFormat="1" ht="78.75" x14ac:dyDescent="0.25">
      <c r="B858" s="36">
        <v>876</v>
      </c>
      <c r="C858" s="36" t="s">
        <v>1949</v>
      </c>
      <c r="D858" s="36" t="s">
        <v>278</v>
      </c>
      <c r="E858" s="36" t="s">
        <v>2300</v>
      </c>
      <c r="F858" s="39">
        <v>1427</v>
      </c>
      <c r="G858" s="47" t="s">
        <v>2013</v>
      </c>
      <c r="H858" s="41" t="s">
        <v>56</v>
      </c>
      <c r="I858" s="52" t="s">
        <v>24</v>
      </c>
      <c r="J858" s="52" t="s">
        <v>3</v>
      </c>
      <c r="K858" s="42" t="s">
        <v>2015</v>
      </c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</row>
    <row r="859" spans="2:59" s="9" customFormat="1" ht="90" x14ac:dyDescent="0.25">
      <c r="B859" s="36">
        <v>877</v>
      </c>
      <c r="C859" s="36" t="s">
        <v>1950</v>
      </c>
      <c r="D859" s="36" t="s">
        <v>346</v>
      </c>
      <c r="E859" s="36" t="s">
        <v>2928</v>
      </c>
      <c r="F859" s="39">
        <v>15600</v>
      </c>
      <c r="G859" s="47" t="s">
        <v>2013</v>
      </c>
      <c r="H859" s="41" t="s">
        <v>56</v>
      </c>
      <c r="I859" s="52" t="s">
        <v>24</v>
      </c>
      <c r="J859" s="46" t="s">
        <v>398</v>
      </c>
      <c r="K859" s="42" t="s">
        <v>2016</v>
      </c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</row>
    <row r="860" spans="2:59" s="9" customFormat="1" ht="90" x14ac:dyDescent="0.25">
      <c r="B860" s="36">
        <v>878</v>
      </c>
      <c r="C860" s="36" t="s">
        <v>1951</v>
      </c>
      <c r="D860" s="36" t="s">
        <v>1952</v>
      </c>
      <c r="E860" s="36" t="s">
        <v>2604</v>
      </c>
      <c r="F860" s="39">
        <v>28910</v>
      </c>
      <c r="G860" s="47" t="s">
        <v>2013</v>
      </c>
      <c r="H860" s="41" t="s">
        <v>56</v>
      </c>
      <c r="I860" s="52" t="s">
        <v>24</v>
      </c>
      <c r="J860" s="46" t="s">
        <v>398</v>
      </c>
      <c r="K860" s="42" t="s">
        <v>2017</v>
      </c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</row>
    <row r="861" spans="2:59" s="9" customFormat="1" ht="45" x14ac:dyDescent="0.25">
      <c r="B861" s="36">
        <v>879</v>
      </c>
      <c r="C861" s="36" t="s">
        <v>861</v>
      </c>
      <c r="D861" s="36" t="s">
        <v>232</v>
      </c>
      <c r="E861" s="36" t="s">
        <v>1306</v>
      </c>
      <c r="F861" s="39">
        <v>3150</v>
      </c>
      <c r="G861" s="47" t="s">
        <v>2018</v>
      </c>
      <c r="H861" s="41" t="s">
        <v>56</v>
      </c>
      <c r="I861" s="52" t="s">
        <v>24</v>
      </c>
      <c r="J861" s="52" t="s">
        <v>3</v>
      </c>
      <c r="K861" s="42" t="s">
        <v>2019</v>
      </c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</row>
    <row r="862" spans="2:59" s="9" customFormat="1" ht="45" x14ac:dyDescent="0.25">
      <c r="B862" s="36">
        <v>880</v>
      </c>
      <c r="C862" s="36" t="s">
        <v>264</v>
      </c>
      <c r="D862" s="36" t="s">
        <v>232</v>
      </c>
      <c r="E862" s="36" t="s">
        <v>2304</v>
      </c>
      <c r="F862" s="39">
        <v>2875</v>
      </c>
      <c r="G862" s="47" t="s">
        <v>2018</v>
      </c>
      <c r="H862" s="41" t="s">
        <v>56</v>
      </c>
      <c r="I862" s="52" t="s">
        <v>24</v>
      </c>
      <c r="J862" s="52" t="s">
        <v>3</v>
      </c>
      <c r="K862" s="42" t="s">
        <v>2020</v>
      </c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</row>
    <row r="863" spans="2:59" s="9" customFormat="1" ht="45" x14ac:dyDescent="0.25">
      <c r="B863" s="36">
        <v>881</v>
      </c>
      <c r="C863" s="36" t="s">
        <v>1953</v>
      </c>
      <c r="D863" s="36" t="s">
        <v>1156</v>
      </c>
      <c r="E863" s="36" t="s">
        <v>2324</v>
      </c>
      <c r="F863" s="39">
        <v>5720</v>
      </c>
      <c r="G863" s="47" t="s">
        <v>2018</v>
      </c>
      <c r="H863" s="41" t="s">
        <v>56</v>
      </c>
      <c r="I863" s="52" t="s">
        <v>24</v>
      </c>
      <c r="J863" s="52" t="s">
        <v>3</v>
      </c>
      <c r="K863" s="42" t="s">
        <v>2021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</row>
    <row r="864" spans="2:59" s="9" customFormat="1" ht="45" x14ac:dyDescent="0.25">
      <c r="B864" s="36">
        <v>882</v>
      </c>
      <c r="C864" s="36" t="s">
        <v>1954</v>
      </c>
      <c r="D864" s="36" t="s">
        <v>1156</v>
      </c>
      <c r="E864" s="36" t="s">
        <v>2365</v>
      </c>
      <c r="F864" s="39">
        <v>3625</v>
      </c>
      <c r="G864" s="47" t="s">
        <v>2018</v>
      </c>
      <c r="H864" s="41" t="s">
        <v>56</v>
      </c>
      <c r="I864" s="52" t="s">
        <v>24</v>
      </c>
      <c r="J864" s="52" t="s">
        <v>3</v>
      </c>
      <c r="K864" s="42" t="s">
        <v>2022</v>
      </c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</row>
    <row r="865" spans="1:59" s="9" customFormat="1" ht="45" x14ac:dyDescent="0.25">
      <c r="B865" s="36">
        <v>883</v>
      </c>
      <c r="C865" s="36" t="s">
        <v>265</v>
      </c>
      <c r="D865" s="36" t="s">
        <v>110</v>
      </c>
      <c r="E865" s="36" t="s">
        <v>2333</v>
      </c>
      <c r="F865" s="39">
        <v>13050</v>
      </c>
      <c r="G865" s="47" t="s">
        <v>2018</v>
      </c>
      <c r="H865" s="41" t="s">
        <v>56</v>
      </c>
      <c r="I865" s="52" t="s">
        <v>24</v>
      </c>
      <c r="J865" s="52" t="s">
        <v>3</v>
      </c>
      <c r="K865" s="42" t="s">
        <v>2023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</row>
    <row r="866" spans="1:59" s="9" customFormat="1" ht="90" x14ac:dyDescent="0.25">
      <c r="B866" s="36">
        <v>884</v>
      </c>
      <c r="C866" s="36" t="s">
        <v>1646</v>
      </c>
      <c r="D866" s="36" t="s">
        <v>1955</v>
      </c>
      <c r="E866" s="36" t="s">
        <v>2899</v>
      </c>
      <c r="F866" s="39">
        <v>10000</v>
      </c>
      <c r="G866" s="47" t="s">
        <v>2018</v>
      </c>
      <c r="H866" s="41" t="s">
        <v>56</v>
      </c>
      <c r="I866" s="52" t="s">
        <v>24</v>
      </c>
      <c r="J866" s="46" t="s">
        <v>398</v>
      </c>
      <c r="K866" s="42" t="s">
        <v>2024</v>
      </c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</row>
    <row r="867" spans="1:59" s="9" customFormat="1" ht="45" x14ac:dyDescent="0.25">
      <c r="B867" s="36">
        <v>885</v>
      </c>
      <c r="C867" s="36" t="s">
        <v>1826</v>
      </c>
      <c r="D867" s="36" t="s">
        <v>108</v>
      </c>
      <c r="E867" s="36">
        <v>471.7</v>
      </c>
      <c r="F867" s="39">
        <v>990</v>
      </c>
      <c r="G867" s="47" t="s">
        <v>2018</v>
      </c>
      <c r="H867" s="41" t="s">
        <v>56</v>
      </c>
      <c r="I867" s="52" t="s">
        <v>24</v>
      </c>
      <c r="J867" s="52" t="s">
        <v>3</v>
      </c>
      <c r="K867" s="42" t="s">
        <v>2025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</row>
    <row r="868" spans="1:59" ht="45" x14ac:dyDescent="0.25">
      <c r="A868" s="1"/>
      <c r="B868" s="36">
        <v>886</v>
      </c>
      <c r="C868" s="36" t="s">
        <v>783</v>
      </c>
      <c r="D868" s="36" t="s">
        <v>108</v>
      </c>
      <c r="E868" s="36">
        <v>400</v>
      </c>
      <c r="F868" s="39">
        <v>400</v>
      </c>
      <c r="G868" s="47" t="s">
        <v>2018</v>
      </c>
      <c r="H868" s="41" t="s">
        <v>56</v>
      </c>
      <c r="I868" s="52" t="s">
        <v>24</v>
      </c>
      <c r="J868" s="52" t="s">
        <v>3</v>
      </c>
      <c r="K868" s="42" t="s">
        <v>2026</v>
      </c>
    </row>
    <row r="869" spans="1:59" s="9" customFormat="1" ht="45" x14ac:dyDescent="0.25">
      <c r="B869" s="36">
        <v>887</v>
      </c>
      <c r="C869" s="36" t="s">
        <v>1826</v>
      </c>
      <c r="D869" s="36" t="s">
        <v>1156</v>
      </c>
      <c r="E869" s="36" t="s">
        <v>1526</v>
      </c>
      <c r="F869" s="39">
        <v>1900</v>
      </c>
      <c r="G869" s="47" t="s">
        <v>2018</v>
      </c>
      <c r="H869" s="41" t="s">
        <v>56</v>
      </c>
      <c r="I869" s="52" t="s">
        <v>24</v>
      </c>
      <c r="J869" s="52" t="s">
        <v>3</v>
      </c>
      <c r="K869" s="42" t="s">
        <v>2027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</row>
    <row r="870" spans="1:59" s="9" customFormat="1" ht="45" x14ac:dyDescent="0.25">
      <c r="B870" s="36">
        <v>888</v>
      </c>
      <c r="C870" s="36" t="s">
        <v>1956</v>
      </c>
      <c r="D870" s="36" t="s">
        <v>232</v>
      </c>
      <c r="E870" s="36" t="s">
        <v>2146</v>
      </c>
      <c r="F870" s="39">
        <v>2500</v>
      </c>
      <c r="G870" s="47" t="s">
        <v>2018</v>
      </c>
      <c r="H870" s="41" t="s">
        <v>56</v>
      </c>
      <c r="I870" s="52" t="s">
        <v>24</v>
      </c>
      <c r="J870" s="52" t="s">
        <v>3</v>
      </c>
      <c r="K870" s="42" t="s">
        <v>2028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</row>
    <row r="871" spans="1:59" s="9" customFormat="1" ht="45" x14ac:dyDescent="0.25">
      <c r="B871" s="36">
        <v>889</v>
      </c>
      <c r="C871" s="36" t="s">
        <v>109</v>
      </c>
      <c r="D871" s="36" t="s">
        <v>110</v>
      </c>
      <c r="E871" s="36" t="s">
        <v>2332</v>
      </c>
      <c r="F871" s="39">
        <v>2450</v>
      </c>
      <c r="G871" s="47" t="s">
        <v>2018</v>
      </c>
      <c r="H871" s="41" t="s">
        <v>56</v>
      </c>
      <c r="I871" s="52" t="s">
        <v>24</v>
      </c>
      <c r="J871" s="52" t="s">
        <v>3</v>
      </c>
      <c r="K871" s="42" t="s">
        <v>2029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</row>
    <row r="872" spans="1:59" s="9" customFormat="1" ht="45" x14ac:dyDescent="0.25">
      <c r="B872" s="36">
        <v>890</v>
      </c>
      <c r="C872" s="36" t="s">
        <v>774</v>
      </c>
      <c r="D872" s="36" t="s">
        <v>108</v>
      </c>
      <c r="E872" s="36">
        <v>46.86</v>
      </c>
      <c r="F872" s="39">
        <v>100</v>
      </c>
      <c r="G872" s="47" t="s">
        <v>2030</v>
      </c>
      <c r="H872" s="41" t="s">
        <v>56</v>
      </c>
      <c r="I872" s="52" t="s">
        <v>24</v>
      </c>
      <c r="J872" s="52" t="s">
        <v>3</v>
      </c>
      <c r="K872" s="42" t="s">
        <v>2031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</row>
    <row r="873" spans="1:59" s="9" customFormat="1" ht="45" x14ac:dyDescent="0.25">
      <c r="B873" s="36">
        <v>891</v>
      </c>
      <c r="C873" s="36" t="s">
        <v>1620</v>
      </c>
      <c r="D873" s="36" t="s">
        <v>108</v>
      </c>
      <c r="E873" s="36">
        <v>60</v>
      </c>
      <c r="F873" s="39">
        <v>60</v>
      </c>
      <c r="G873" s="47" t="s">
        <v>2030</v>
      </c>
      <c r="H873" s="41" t="s">
        <v>56</v>
      </c>
      <c r="I873" s="52" t="s">
        <v>24</v>
      </c>
      <c r="J873" s="52" t="s">
        <v>3</v>
      </c>
      <c r="K873" s="42" t="s">
        <v>2032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</row>
    <row r="874" spans="1:59" s="9" customFormat="1" ht="45" x14ac:dyDescent="0.25">
      <c r="B874" s="36">
        <v>892</v>
      </c>
      <c r="C874" s="36" t="s">
        <v>893</v>
      </c>
      <c r="D874" s="36" t="s">
        <v>108</v>
      </c>
      <c r="E874" s="36" t="s">
        <v>2343</v>
      </c>
      <c r="F874" s="39">
        <v>180</v>
      </c>
      <c r="G874" s="47" t="s">
        <v>2030</v>
      </c>
      <c r="H874" s="41" t="s">
        <v>56</v>
      </c>
      <c r="I874" s="52" t="s">
        <v>24</v>
      </c>
      <c r="J874" s="52" t="s">
        <v>3</v>
      </c>
      <c r="K874" s="42" t="s">
        <v>2033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</row>
    <row r="875" spans="1:59" s="9" customFormat="1" ht="45" x14ac:dyDescent="0.25">
      <c r="B875" s="36">
        <v>893</v>
      </c>
      <c r="C875" s="36" t="s">
        <v>1658</v>
      </c>
      <c r="D875" s="36" t="s">
        <v>108</v>
      </c>
      <c r="E875" s="36">
        <v>150</v>
      </c>
      <c r="F875" s="39">
        <v>150</v>
      </c>
      <c r="G875" s="47" t="s">
        <v>2030</v>
      </c>
      <c r="H875" s="41" t="s">
        <v>56</v>
      </c>
      <c r="I875" s="52" t="s">
        <v>24</v>
      </c>
      <c r="J875" s="52" t="s">
        <v>3</v>
      </c>
      <c r="K875" s="42" t="s">
        <v>2034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</row>
    <row r="876" spans="1:59" s="9" customFormat="1" ht="45" x14ac:dyDescent="0.25">
      <c r="B876" s="36">
        <v>895</v>
      </c>
      <c r="C876" s="36" t="s">
        <v>1957</v>
      </c>
      <c r="D876" s="36" t="s">
        <v>232</v>
      </c>
      <c r="E876" s="36" t="s">
        <v>2331</v>
      </c>
      <c r="F876" s="39">
        <v>4381.25</v>
      </c>
      <c r="G876" s="47" t="s">
        <v>2030</v>
      </c>
      <c r="H876" s="41" t="s">
        <v>56</v>
      </c>
      <c r="I876" s="52" t="s">
        <v>24</v>
      </c>
      <c r="J876" s="52" t="s">
        <v>3</v>
      </c>
      <c r="K876" s="42" t="s">
        <v>2035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</row>
    <row r="877" spans="1:59" s="9" customFormat="1" ht="45" x14ac:dyDescent="0.25">
      <c r="B877" s="36">
        <v>896</v>
      </c>
      <c r="C877" s="36" t="s">
        <v>1958</v>
      </c>
      <c r="D877" s="36" t="s">
        <v>232</v>
      </c>
      <c r="E877" s="36">
        <v>150</v>
      </c>
      <c r="F877" s="39">
        <v>150</v>
      </c>
      <c r="G877" s="47" t="s">
        <v>2030</v>
      </c>
      <c r="H877" s="41" t="s">
        <v>56</v>
      </c>
      <c r="I877" s="52" t="s">
        <v>24</v>
      </c>
      <c r="J877" s="52" t="s">
        <v>3</v>
      </c>
      <c r="K877" s="42" t="s">
        <v>2036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</row>
    <row r="878" spans="1:59" s="9" customFormat="1" ht="45" x14ac:dyDescent="0.25">
      <c r="B878" s="36">
        <v>897</v>
      </c>
      <c r="C878" s="36" t="s">
        <v>1959</v>
      </c>
      <c r="D878" s="36" t="s">
        <v>108</v>
      </c>
      <c r="E878" s="36">
        <v>133</v>
      </c>
      <c r="F878" s="39">
        <v>180</v>
      </c>
      <c r="G878" s="47" t="s">
        <v>2030</v>
      </c>
      <c r="H878" s="41" t="s">
        <v>56</v>
      </c>
      <c r="I878" s="52" t="s">
        <v>24</v>
      </c>
      <c r="J878" s="52" t="s">
        <v>3</v>
      </c>
      <c r="K878" s="42" t="s">
        <v>2037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</row>
    <row r="879" spans="1:59" s="9" customFormat="1" ht="45" x14ac:dyDescent="0.25">
      <c r="B879" s="36">
        <v>898</v>
      </c>
      <c r="C879" s="36" t="s">
        <v>154</v>
      </c>
      <c r="D879" s="36" t="s">
        <v>1156</v>
      </c>
      <c r="E879" s="36" t="s">
        <v>2348</v>
      </c>
      <c r="F879" s="39">
        <v>111540</v>
      </c>
      <c r="G879" s="47" t="s">
        <v>2030</v>
      </c>
      <c r="H879" s="41" t="s">
        <v>56</v>
      </c>
      <c r="I879" s="52" t="s">
        <v>24</v>
      </c>
      <c r="J879" s="52" t="s">
        <v>3</v>
      </c>
      <c r="K879" s="42" t="s">
        <v>2038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</row>
    <row r="880" spans="1:59" s="9" customFormat="1" ht="45" x14ac:dyDescent="0.25">
      <c r="B880" s="36">
        <v>899</v>
      </c>
      <c r="C880" s="36" t="s">
        <v>1960</v>
      </c>
      <c r="D880" s="36" t="s">
        <v>108</v>
      </c>
      <c r="E880" s="36" t="s">
        <v>2322</v>
      </c>
      <c r="F880" s="39">
        <v>2400</v>
      </c>
      <c r="G880" s="47" t="s">
        <v>2030</v>
      </c>
      <c r="H880" s="41" t="s">
        <v>56</v>
      </c>
      <c r="I880" s="52" t="s">
        <v>24</v>
      </c>
      <c r="J880" s="52" t="s">
        <v>3</v>
      </c>
      <c r="K880" s="42" t="s">
        <v>2039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</row>
    <row r="881" spans="1:59" ht="45" x14ac:dyDescent="0.25">
      <c r="A881" s="1"/>
      <c r="B881" s="36">
        <v>900</v>
      </c>
      <c r="C881" s="36" t="s">
        <v>1961</v>
      </c>
      <c r="D881" s="36" t="s">
        <v>108</v>
      </c>
      <c r="E881" s="36">
        <v>130.9</v>
      </c>
      <c r="F881" s="39">
        <v>150</v>
      </c>
      <c r="G881" s="47" t="s">
        <v>2030</v>
      </c>
      <c r="H881" s="41" t="s">
        <v>56</v>
      </c>
      <c r="I881" s="52" t="s">
        <v>24</v>
      </c>
      <c r="J881" s="52" t="s">
        <v>3</v>
      </c>
      <c r="K881" s="42" t="s">
        <v>2040</v>
      </c>
    </row>
    <row r="882" spans="1:59" ht="45" x14ac:dyDescent="0.25">
      <c r="A882" s="1"/>
      <c r="B882" s="36">
        <v>901</v>
      </c>
      <c r="C882" s="36" t="s">
        <v>483</v>
      </c>
      <c r="D882" s="36" t="s">
        <v>108</v>
      </c>
      <c r="E882" s="36">
        <v>495.55</v>
      </c>
      <c r="F882" s="39">
        <v>600</v>
      </c>
      <c r="G882" s="47" t="s">
        <v>2030</v>
      </c>
      <c r="H882" s="41" t="s">
        <v>56</v>
      </c>
      <c r="I882" s="52" t="s">
        <v>24</v>
      </c>
      <c r="J882" s="52" t="s">
        <v>3</v>
      </c>
      <c r="K882" s="42" t="s">
        <v>2041</v>
      </c>
    </row>
    <row r="883" spans="1:59" s="9" customFormat="1" ht="45" x14ac:dyDescent="0.25">
      <c r="B883" s="36">
        <v>902</v>
      </c>
      <c r="C883" s="36" t="s">
        <v>1962</v>
      </c>
      <c r="D883" s="36" t="s">
        <v>108</v>
      </c>
      <c r="E883" s="36" t="s">
        <v>2342</v>
      </c>
      <c r="F883" s="39">
        <v>2000</v>
      </c>
      <c r="G883" s="47" t="s">
        <v>2030</v>
      </c>
      <c r="H883" s="41" t="s">
        <v>56</v>
      </c>
      <c r="I883" s="52" t="s">
        <v>24</v>
      </c>
      <c r="J883" s="52" t="s">
        <v>3</v>
      </c>
      <c r="K883" s="42" t="s">
        <v>2042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</row>
    <row r="884" spans="1:59" s="9" customFormat="1" ht="45" x14ac:dyDescent="0.25">
      <c r="B884" s="36">
        <v>903</v>
      </c>
      <c r="C884" s="36" t="s">
        <v>1963</v>
      </c>
      <c r="D884" s="36" t="s">
        <v>108</v>
      </c>
      <c r="E884" s="36" t="s">
        <v>2323</v>
      </c>
      <c r="F884" s="39">
        <v>2000</v>
      </c>
      <c r="G884" s="47" t="s">
        <v>2030</v>
      </c>
      <c r="H884" s="41" t="s">
        <v>56</v>
      </c>
      <c r="I884" s="52" t="s">
        <v>24</v>
      </c>
      <c r="J884" s="52" t="s">
        <v>3</v>
      </c>
      <c r="K884" s="42" t="s">
        <v>2043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</row>
    <row r="885" spans="1:59" s="9" customFormat="1" ht="45" x14ac:dyDescent="0.25">
      <c r="B885" s="36">
        <v>904</v>
      </c>
      <c r="C885" s="36" t="s">
        <v>166</v>
      </c>
      <c r="D885" s="36" t="s">
        <v>108</v>
      </c>
      <c r="E885" s="36" t="s">
        <v>2340</v>
      </c>
      <c r="F885" s="39">
        <v>2340</v>
      </c>
      <c r="G885" s="47" t="s">
        <v>2030</v>
      </c>
      <c r="H885" s="41" t="s">
        <v>56</v>
      </c>
      <c r="I885" s="52" t="s">
        <v>24</v>
      </c>
      <c r="J885" s="52" t="s">
        <v>3</v>
      </c>
      <c r="K885" s="42" t="s">
        <v>2044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</row>
    <row r="886" spans="1:59" s="9" customFormat="1" ht="45" x14ac:dyDescent="0.25">
      <c r="B886" s="36">
        <v>905</v>
      </c>
      <c r="C886" s="36" t="s">
        <v>1904</v>
      </c>
      <c r="D886" s="36" t="s">
        <v>108</v>
      </c>
      <c r="E886" s="36">
        <v>406.89</v>
      </c>
      <c r="F886" s="39">
        <v>900</v>
      </c>
      <c r="G886" s="47" t="s">
        <v>2030</v>
      </c>
      <c r="H886" s="41" t="s">
        <v>56</v>
      </c>
      <c r="I886" s="52" t="s">
        <v>24</v>
      </c>
      <c r="J886" s="52" t="s">
        <v>3</v>
      </c>
      <c r="K886" s="42" t="s">
        <v>2045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</row>
    <row r="887" spans="1:59" s="9" customFormat="1" ht="45" x14ac:dyDescent="0.25">
      <c r="B887" s="36">
        <v>906</v>
      </c>
      <c r="C887" s="36" t="s">
        <v>256</v>
      </c>
      <c r="D887" s="36" t="s">
        <v>108</v>
      </c>
      <c r="E887" s="36" t="s">
        <v>2328</v>
      </c>
      <c r="F887" s="39">
        <v>750</v>
      </c>
      <c r="G887" s="47" t="s">
        <v>2030</v>
      </c>
      <c r="H887" s="41" t="s">
        <v>56</v>
      </c>
      <c r="I887" s="52" t="s">
        <v>24</v>
      </c>
      <c r="J887" s="52" t="s">
        <v>3</v>
      </c>
      <c r="K887" s="42" t="s">
        <v>2046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</row>
    <row r="888" spans="1:59" s="9" customFormat="1" ht="45" x14ac:dyDescent="0.25">
      <c r="B888" s="36">
        <v>907</v>
      </c>
      <c r="C888" s="36" t="s">
        <v>1960</v>
      </c>
      <c r="D888" s="36" t="s">
        <v>108</v>
      </c>
      <c r="E888" s="36">
        <v>742.5</v>
      </c>
      <c r="F888" s="39">
        <v>900</v>
      </c>
      <c r="G888" s="47" t="s">
        <v>2030</v>
      </c>
      <c r="H888" s="41" t="s">
        <v>56</v>
      </c>
      <c r="I888" s="52" t="s">
        <v>24</v>
      </c>
      <c r="J888" s="52" t="s">
        <v>3</v>
      </c>
      <c r="K888" s="42" t="s">
        <v>2047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</row>
    <row r="889" spans="1:59" s="9" customFormat="1" ht="45" x14ac:dyDescent="0.25">
      <c r="B889" s="36">
        <v>908</v>
      </c>
      <c r="C889" s="36" t="s">
        <v>1964</v>
      </c>
      <c r="D889" s="36" t="s">
        <v>108</v>
      </c>
      <c r="E889" s="36">
        <v>250.4</v>
      </c>
      <c r="F889" s="39">
        <v>750</v>
      </c>
      <c r="G889" s="47" t="s">
        <v>2030</v>
      </c>
      <c r="H889" s="41" t="s">
        <v>56</v>
      </c>
      <c r="I889" s="52" t="s">
        <v>24</v>
      </c>
      <c r="J889" s="52" t="s">
        <v>3</v>
      </c>
      <c r="K889" s="42" t="s">
        <v>2048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</row>
    <row r="890" spans="1:59" s="9" customFormat="1" ht="45" x14ac:dyDescent="0.25">
      <c r="B890" s="36">
        <v>909</v>
      </c>
      <c r="C890" s="36" t="s">
        <v>1965</v>
      </c>
      <c r="D890" s="36" t="s">
        <v>108</v>
      </c>
      <c r="E890" s="36" t="s">
        <v>2338</v>
      </c>
      <c r="F890" s="39">
        <v>1860</v>
      </c>
      <c r="G890" s="47" t="s">
        <v>2030</v>
      </c>
      <c r="H890" s="41" t="s">
        <v>56</v>
      </c>
      <c r="I890" s="52" t="s">
        <v>24</v>
      </c>
      <c r="J890" s="52" t="s">
        <v>3</v>
      </c>
      <c r="K890" s="42" t="s">
        <v>2049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</row>
    <row r="891" spans="1:59" s="9" customFormat="1" ht="45" x14ac:dyDescent="0.25">
      <c r="B891" s="36">
        <v>910</v>
      </c>
      <c r="C891" s="36" t="s">
        <v>1964</v>
      </c>
      <c r="D891" s="36" t="s">
        <v>108</v>
      </c>
      <c r="E891" s="36">
        <v>184.25</v>
      </c>
      <c r="F891" s="39">
        <v>400</v>
      </c>
      <c r="G891" s="47" t="s">
        <v>2030</v>
      </c>
      <c r="H891" s="41" t="s">
        <v>56</v>
      </c>
      <c r="I891" s="52" t="s">
        <v>24</v>
      </c>
      <c r="J891" s="52" t="s">
        <v>3</v>
      </c>
      <c r="K891" s="42" t="s">
        <v>2050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</row>
    <row r="892" spans="1:59" s="9" customFormat="1" ht="90" x14ac:dyDescent="0.25">
      <c r="B892" s="36">
        <v>912</v>
      </c>
      <c r="C892" s="36" t="s">
        <v>1966</v>
      </c>
      <c r="D892" s="36" t="s">
        <v>1967</v>
      </c>
      <c r="E892" s="36" t="s">
        <v>3048</v>
      </c>
      <c r="F892" s="39">
        <v>59616</v>
      </c>
      <c r="G892" s="47" t="s">
        <v>2030</v>
      </c>
      <c r="H892" s="41" t="s">
        <v>56</v>
      </c>
      <c r="I892" s="52" t="s">
        <v>24</v>
      </c>
      <c r="J892" s="46" t="s">
        <v>398</v>
      </c>
      <c r="K892" s="42" t="s">
        <v>2051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</row>
    <row r="893" spans="1:59" s="9" customFormat="1" ht="45" x14ac:dyDescent="0.25">
      <c r="B893" s="36">
        <v>913</v>
      </c>
      <c r="C893" s="36" t="s">
        <v>1938</v>
      </c>
      <c r="D893" s="36" t="s">
        <v>1156</v>
      </c>
      <c r="E893" s="36">
        <v>282.63</v>
      </c>
      <c r="F893" s="39">
        <v>282.63</v>
      </c>
      <c r="G893" s="47" t="s">
        <v>2030</v>
      </c>
      <c r="H893" s="41" t="s">
        <v>56</v>
      </c>
      <c r="I893" s="52" t="s">
        <v>24</v>
      </c>
      <c r="J893" s="52" t="s">
        <v>3</v>
      </c>
      <c r="K893" s="42" t="s">
        <v>2052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</row>
    <row r="894" spans="1:59" s="9" customFormat="1" ht="45" x14ac:dyDescent="0.25">
      <c r="B894" s="36">
        <v>914</v>
      </c>
      <c r="C894" s="36" t="s">
        <v>272</v>
      </c>
      <c r="D894" s="36" t="s">
        <v>110</v>
      </c>
      <c r="E894" s="36" t="s">
        <v>2357</v>
      </c>
      <c r="F894" s="39" t="s">
        <v>2357</v>
      </c>
      <c r="G894" s="47" t="s">
        <v>2030</v>
      </c>
      <c r="H894" s="41" t="s">
        <v>56</v>
      </c>
      <c r="I894" s="52" t="s">
        <v>24</v>
      </c>
      <c r="J894" s="52" t="s">
        <v>3</v>
      </c>
      <c r="K894" s="42" t="s">
        <v>2053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</row>
    <row r="895" spans="1:59" s="9" customFormat="1" ht="45" x14ac:dyDescent="0.25">
      <c r="B895" s="36">
        <v>915</v>
      </c>
      <c r="C895" s="36" t="s">
        <v>1652</v>
      </c>
      <c r="D895" s="36" t="s">
        <v>108</v>
      </c>
      <c r="E895" s="36" t="s">
        <v>2327</v>
      </c>
      <c r="F895" s="39">
        <v>1040</v>
      </c>
      <c r="G895" s="47" t="s">
        <v>2030</v>
      </c>
      <c r="H895" s="41" t="s">
        <v>56</v>
      </c>
      <c r="I895" s="52" t="s">
        <v>24</v>
      </c>
      <c r="J895" s="52" t="s">
        <v>3</v>
      </c>
      <c r="K895" s="42" t="s">
        <v>2054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</row>
    <row r="896" spans="1:59" s="9" customFormat="1" ht="45" x14ac:dyDescent="0.25">
      <c r="B896" s="36">
        <v>916</v>
      </c>
      <c r="C896" s="36" t="s">
        <v>134</v>
      </c>
      <c r="D896" s="36" t="s">
        <v>108</v>
      </c>
      <c r="E896" s="36" t="s">
        <v>2341</v>
      </c>
      <c r="F896" s="39">
        <v>1500</v>
      </c>
      <c r="G896" s="47" t="s">
        <v>2030</v>
      </c>
      <c r="H896" s="41" t="s">
        <v>56</v>
      </c>
      <c r="I896" s="52" t="s">
        <v>24</v>
      </c>
      <c r="J896" s="52" t="s">
        <v>3</v>
      </c>
      <c r="K896" s="42" t="s">
        <v>2055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</row>
    <row r="897" spans="1:59" s="9" customFormat="1" ht="45" x14ac:dyDescent="0.25">
      <c r="B897" s="36">
        <v>918</v>
      </c>
      <c r="C897" s="36" t="s">
        <v>1904</v>
      </c>
      <c r="D897" s="36" t="s">
        <v>108</v>
      </c>
      <c r="E897" s="36" t="s">
        <v>2329</v>
      </c>
      <c r="F897" s="39">
        <v>2400</v>
      </c>
      <c r="G897" s="47" t="s">
        <v>2030</v>
      </c>
      <c r="H897" s="41" t="s">
        <v>56</v>
      </c>
      <c r="I897" s="52" t="s">
        <v>24</v>
      </c>
      <c r="J897" s="52" t="s">
        <v>3</v>
      </c>
      <c r="K897" s="42" t="s">
        <v>2056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</row>
    <row r="898" spans="1:59" s="9" customFormat="1" ht="45" x14ac:dyDescent="0.25">
      <c r="B898" s="36">
        <v>919</v>
      </c>
      <c r="C898" s="36" t="s">
        <v>483</v>
      </c>
      <c r="D898" s="36" t="s">
        <v>108</v>
      </c>
      <c r="E898" s="36" t="s">
        <v>2554</v>
      </c>
      <c r="F898" s="39">
        <v>2000</v>
      </c>
      <c r="G898" s="47" t="s">
        <v>2030</v>
      </c>
      <c r="H898" s="41" t="s">
        <v>56</v>
      </c>
      <c r="I898" s="52" t="s">
        <v>24</v>
      </c>
      <c r="J898" s="52" t="s">
        <v>3</v>
      </c>
      <c r="K898" s="42" t="s">
        <v>2057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</row>
    <row r="899" spans="1:59" s="9" customFormat="1" ht="45" x14ac:dyDescent="0.25">
      <c r="B899" s="36">
        <v>920</v>
      </c>
      <c r="C899" s="36" t="s">
        <v>1965</v>
      </c>
      <c r="D899" s="36" t="s">
        <v>108</v>
      </c>
      <c r="E899" s="36" t="s">
        <v>2330</v>
      </c>
      <c r="F899" s="39">
        <v>1950</v>
      </c>
      <c r="G899" s="47" t="s">
        <v>2030</v>
      </c>
      <c r="H899" s="41" t="s">
        <v>56</v>
      </c>
      <c r="I899" s="52" t="s">
        <v>24</v>
      </c>
      <c r="J899" s="52" t="s">
        <v>3</v>
      </c>
      <c r="K899" s="42" t="s">
        <v>2058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</row>
    <row r="900" spans="1:59" s="9" customFormat="1" ht="45" x14ac:dyDescent="0.25">
      <c r="B900" s="36">
        <v>921</v>
      </c>
      <c r="C900" s="36" t="s">
        <v>262</v>
      </c>
      <c r="D900" s="36" t="s">
        <v>108</v>
      </c>
      <c r="E900" s="36" t="s">
        <v>1204</v>
      </c>
      <c r="F900" s="39">
        <v>1200</v>
      </c>
      <c r="G900" s="47" t="s">
        <v>2030</v>
      </c>
      <c r="H900" s="41" t="s">
        <v>56</v>
      </c>
      <c r="I900" s="52" t="s">
        <v>24</v>
      </c>
      <c r="J900" s="52" t="s">
        <v>3</v>
      </c>
      <c r="K900" s="42" t="s">
        <v>2059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</row>
    <row r="901" spans="1:59" s="9" customFormat="1" ht="45" x14ac:dyDescent="0.25">
      <c r="B901" s="36">
        <v>922</v>
      </c>
      <c r="C901" s="36" t="s">
        <v>1968</v>
      </c>
      <c r="D901" s="36" t="s">
        <v>108</v>
      </c>
      <c r="E901" s="36" t="s">
        <v>2336</v>
      </c>
      <c r="F901" s="39">
        <v>1200</v>
      </c>
      <c r="G901" s="47" t="s">
        <v>2030</v>
      </c>
      <c r="H901" s="41" t="s">
        <v>56</v>
      </c>
      <c r="I901" s="52" t="s">
        <v>24</v>
      </c>
      <c r="J901" s="52" t="s">
        <v>3</v>
      </c>
      <c r="K901" s="42" t="s">
        <v>2060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</row>
    <row r="902" spans="1:59" s="9" customFormat="1" ht="45" x14ac:dyDescent="0.25">
      <c r="B902" s="36">
        <v>923</v>
      </c>
      <c r="C902" s="36" t="s">
        <v>329</v>
      </c>
      <c r="D902" s="36" t="s">
        <v>108</v>
      </c>
      <c r="E902" s="36" t="s">
        <v>2325</v>
      </c>
      <c r="F902" s="39">
        <v>1350</v>
      </c>
      <c r="G902" s="47" t="s">
        <v>2030</v>
      </c>
      <c r="H902" s="41" t="s">
        <v>56</v>
      </c>
      <c r="I902" s="52" t="s">
        <v>24</v>
      </c>
      <c r="J902" s="52" t="s">
        <v>3</v>
      </c>
      <c r="K902" s="42" t="s">
        <v>2061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</row>
    <row r="903" spans="1:59" s="9" customFormat="1" ht="45" x14ac:dyDescent="0.25">
      <c r="B903" s="36">
        <v>924</v>
      </c>
      <c r="C903" s="36" t="s">
        <v>1964</v>
      </c>
      <c r="D903" s="36" t="s">
        <v>108</v>
      </c>
      <c r="E903" s="36">
        <v>700.85</v>
      </c>
      <c r="F903" s="39">
        <v>1550</v>
      </c>
      <c r="G903" s="47" t="s">
        <v>2030</v>
      </c>
      <c r="H903" s="41" t="s">
        <v>56</v>
      </c>
      <c r="I903" s="52" t="s">
        <v>24</v>
      </c>
      <c r="J903" s="52" t="s">
        <v>3</v>
      </c>
      <c r="K903" s="42" t="s">
        <v>2062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</row>
    <row r="904" spans="1:59" s="9" customFormat="1" ht="45" x14ac:dyDescent="0.25">
      <c r="B904" s="36">
        <v>925</v>
      </c>
      <c r="C904" s="36" t="s">
        <v>153</v>
      </c>
      <c r="D904" s="36" t="s">
        <v>108</v>
      </c>
      <c r="E904" s="36" t="s">
        <v>1117</v>
      </c>
      <c r="F904" s="36" t="s">
        <v>1117</v>
      </c>
      <c r="G904" s="47" t="s">
        <v>2030</v>
      </c>
      <c r="H904" s="41" t="s">
        <v>56</v>
      </c>
      <c r="I904" s="52" t="s">
        <v>24</v>
      </c>
      <c r="J904" s="52" t="s">
        <v>3</v>
      </c>
      <c r="K904" s="42" t="s">
        <v>2063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</row>
    <row r="905" spans="1:59" s="3" customFormat="1" ht="45" x14ac:dyDescent="0.25">
      <c r="B905" s="36">
        <v>926</v>
      </c>
      <c r="C905" s="36" t="s">
        <v>1969</v>
      </c>
      <c r="D905" s="36" t="s">
        <v>108</v>
      </c>
      <c r="E905" s="36">
        <v>355</v>
      </c>
      <c r="F905" s="39">
        <v>360</v>
      </c>
      <c r="G905" s="47" t="s">
        <v>2030</v>
      </c>
      <c r="H905" s="41" t="s">
        <v>56</v>
      </c>
      <c r="I905" s="52" t="s">
        <v>24</v>
      </c>
      <c r="J905" s="52" t="s">
        <v>3</v>
      </c>
      <c r="K905" s="42" t="s">
        <v>2064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</row>
    <row r="906" spans="1:59" ht="45" x14ac:dyDescent="0.25">
      <c r="A906" s="1"/>
      <c r="B906" s="36">
        <v>927</v>
      </c>
      <c r="C906" s="36" t="s">
        <v>1652</v>
      </c>
      <c r="D906" s="36" t="s">
        <v>108</v>
      </c>
      <c r="E906" s="36">
        <v>286.7</v>
      </c>
      <c r="F906" s="39">
        <v>300</v>
      </c>
      <c r="G906" s="47" t="s">
        <v>2030</v>
      </c>
      <c r="H906" s="41" t="s">
        <v>56</v>
      </c>
      <c r="I906" s="52" t="s">
        <v>24</v>
      </c>
      <c r="J906" s="52" t="s">
        <v>3</v>
      </c>
      <c r="K906" s="42" t="s">
        <v>2065</v>
      </c>
    </row>
    <row r="907" spans="1:59" s="9" customFormat="1" ht="45" x14ac:dyDescent="0.25">
      <c r="B907" s="36">
        <v>928</v>
      </c>
      <c r="C907" s="36" t="s">
        <v>1903</v>
      </c>
      <c r="D907" s="36" t="s">
        <v>278</v>
      </c>
      <c r="E907" s="36" t="s">
        <v>2316</v>
      </c>
      <c r="F907" s="39">
        <v>1709</v>
      </c>
      <c r="G907" s="47" t="s">
        <v>2066</v>
      </c>
      <c r="H907" s="41" t="s">
        <v>56</v>
      </c>
      <c r="I907" s="52" t="s">
        <v>24</v>
      </c>
      <c r="J907" s="52" t="s">
        <v>3</v>
      </c>
      <c r="K907" s="42" t="s">
        <v>2067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</row>
    <row r="908" spans="1:59" s="9" customFormat="1" ht="45" x14ac:dyDescent="0.25">
      <c r="B908" s="36">
        <v>929</v>
      </c>
      <c r="C908" s="36" t="s">
        <v>1349</v>
      </c>
      <c r="D908" s="36" t="s">
        <v>278</v>
      </c>
      <c r="E908" s="36" t="s">
        <v>2821</v>
      </c>
      <c r="F908" s="39">
        <v>5845.1</v>
      </c>
      <c r="G908" s="47" t="s">
        <v>2030</v>
      </c>
      <c r="H908" s="41" t="s">
        <v>56</v>
      </c>
      <c r="I908" s="52" t="s">
        <v>24</v>
      </c>
      <c r="J908" s="52" t="s">
        <v>3</v>
      </c>
      <c r="K908" s="42" t="s">
        <v>2068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</row>
    <row r="909" spans="1:59" s="9" customFormat="1" ht="45" x14ac:dyDescent="0.25">
      <c r="B909" s="36">
        <v>930</v>
      </c>
      <c r="C909" s="36" t="s">
        <v>1903</v>
      </c>
      <c r="D909" s="36" t="s">
        <v>278</v>
      </c>
      <c r="E909" s="36" t="s">
        <v>2364</v>
      </c>
      <c r="F909" s="39">
        <v>5633</v>
      </c>
      <c r="G909" s="47" t="s">
        <v>2030</v>
      </c>
      <c r="H909" s="41" t="s">
        <v>56</v>
      </c>
      <c r="I909" s="52" t="s">
        <v>24</v>
      </c>
      <c r="J909" s="52" t="s">
        <v>3</v>
      </c>
      <c r="K909" s="42" t="s">
        <v>2069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</row>
    <row r="910" spans="1:59" s="9" customFormat="1" ht="45" x14ac:dyDescent="0.25">
      <c r="B910" s="36">
        <v>931</v>
      </c>
      <c r="C910" s="36" t="s">
        <v>277</v>
      </c>
      <c r="D910" s="36" t="s">
        <v>278</v>
      </c>
      <c r="E910" s="36" t="s">
        <v>2363</v>
      </c>
      <c r="F910" s="39">
        <v>59246.1</v>
      </c>
      <c r="G910" s="47" t="s">
        <v>2030</v>
      </c>
      <c r="H910" s="41" t="s">
        <v>56</v>
      </c>
      <c r="I910" s="52" t="s">
        <v>24</v>
      </c>
      <c r="J910" s="52" t="s">
        <v>3</v>
      </c>
      <c r="K910" s="42" t="s">
        <v>2070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</row>
    <row r="911" spans="1:59" s="9" customFormat="1" ht="45" x14ac:dyDescent="0.25">
      <c r="B911" s="36">
        <v>932</v>
      </c>
      <c r="C911" s="36" t="s">
        <v>153</v>
      </c>
      <c r="D911" s="36" t="s">
        <v>108</v>
      </c>
      <c r="E911" s="36" t="s">
        <v>2337</v>
      </c>
      <c r="F911" s="39">
        <v>1080</v>
      </c>
      <c r="G911" s="47" t="s">
        <v>2071</v>
      </c>
      <c r="H911" s="41" t="s">
        <v>56</v>
      </c>
      <c r="I911" s="52" t="s">
        <v>24</v>
      </c>
      <c r="J911" s="52" t="s">
        <v>3</v>
      </c>
      <c r="K911" s="42" t="s">
        <v>2072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</row>
    <row r="912" spans="1:59" s="9" customFormat="1" ht="45" x14ac:dyDescent="0.25">
      <c r="B912" s="36">
        <v>933</v>
      </c>
      <c r="C912" s="36" t="s">
        <v>1970</v>
      </c>
      <c r="D912" s="36" t="s">
        <v>108</v>
      </c>
      <c r="E912" s="36">
        <v>631.4</v>
      </c>
      <c r="F912" s="39">
        <v>900</v>
      </c>
      <c r="G912" s="47" t="s">
        <v>2071</v>
      </c>
      <c r="H912" s="41" t="s">
        <v>56</v>
      </c>
      <c r="I912" s="52" t="s">
        <v>24</v>
      </c>
      <c r="J912" s="52" t="s">
        <v>3</v>
      </c>
      <c r="K912" s="42" t="s">
        <v>2073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</row>
    <row r="913" spans="1:59" s="9" customFormat="1" ht="45" x14ac:dyDescent="0.25">
      <c r="B913" s="36">
        <v>934</v>
      </c>
      <c r="C913" s="36" t="s">
        <v>1971</v>
      </c>
      <c r="D913" s="36" t="s">
        <v>110</v>
      </c>
      <c r="E913" s="36" t="s">
        <v>2313</v>
      </c>
      <c r="F913" s="39">
        <v>3850</v>
      </c>
      <c r="G913" s="47" t="s">
        <v>2071</v>
      </c>
      <c r="H913" s="41" t="s">
        <v>56</v>
      </c>
      <c r="I913" s="52" t="s">
        <v>24</v>
      </c>
      <c r="J913" s="52" t="s">
        <v>3</v>
      </c>
      <c r="K913" s="42" t="s">
        <v>2074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</row>
    <row r="914" spans="1:59" s="9" customFormat="1" ht="45" x14ac:dyDescent="0.25">
      <c r="B914" s="36">
        <v>935</v>
      </c>
      <c r="C914" s="36" t="s">
        <v>1972</v>
      </c>
      <c r="D914" s="36" t="s">
        <v>1156</v>
      </c>
      <c r="E914" s="36" t="s">
        <v>2346</v>
      </c>
      <c r="F914" s="39">
        <v>13381.2</v>
      </c>
      <c r="G914" s="47" t="s">
        <v>2071</v>
      </c>
      <c r="H914" s="41" t="s">
        <v>56</v>
      </c>
      <c r="I914" s="52" t="s">
        <v>24</v>
      </c>
      <c r="J914" s="52" t="s">
        <v>3</v>
      </c>
      <c r="K914" s="42" t="s">
        <v>2075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</row>
    <row r="915" spans="1:59" s="9" customFormat="1" ht="45" x14ac:dyDescent="0.25">
      <c r="B915" s="36">
        <v>936</v>
      </c>
      <c r="C915" s="36" t="s">
        <v>132</v>
      </c>
      <c r="D915" s="36" t="s">
        <v>1156</v>
      </c>
      <c r="E915" s="36" t="s">
        <v>2326</v>
      </c>
      <c r="F915" s="39">
        <v>14940</v>
      </c>
      <c r="G915" s="47" t="s">
        <v>2071</v>
      </c>
      <c r="H915" s="41" t="s">
        <v>56</v>
      </c>
      <c r="I915" s="52" t="s">
        <v>24</v>
      </c>
      <c r="J915" s="52" t="s">
        <v>3</v>
      </c>
      <c r="K915" s="42" t="s">
        <v>2076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</row>
    <row r="916" spans="1:59" s="9" customFormat="1" ht="45" x14ac:dyDescent="0.25">
      <c r="B916" s="36">
        <v>937</v>
      </c>
      <c r="C916" s="36" t="s">
        <v>1973</v>
      </c>
      <c r="D916" s="36" t="s">
        <v>232</v>
      </c>
      <c r="E916" s="36">
        <v>887.5</v>
      </c>
      <c r="F916" s="39">
        <v>887.5</v>
      </c>
      <c r="G916" s="47" t="s">
        <v>2071</v>
      </c>
      <c r="H916" s="41" t="s">
        <v>56</v>
      </c>
      <c r="I916" s="52" t="s">
        <v>24</v>
      </c>
      <c r="J916" s="52" t="s">
        <v>3</v>
      </c>
      <c r="K916" s="42" t="s">
        <v>2077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</row>
    <row r="917" spans="1:59" s="9" customFormat="1" ht="45" x14ac:dyDescent="0.25">
      <c r="B917" s="36">
        <v>938</v>
      </c>
      <c r="C917" s="36" t="s">
        <v>1974</v>
      </c>
      <c r="D917" s="36" t="s">
        <v>1156</v>
      </c>
      <c r="E917" s="36" t="s">
        <v>2334</v>
      </c>
      <c r="F917" s="39">
        <v>2004.12</v>
      </c>
      <c r="G917" s="47" t="s">
        <v>2071</v>
      </c>
      <c r="H917" s="41" t="s">
        <v>56</v>
      </c>
      <c r="I917" s="52" t="s">
        <v>24</v>
      </c>
      <c r="J917" s="52" t="s">
        <v>3</v>
      </c>
      <c r="K917" s="42" t="s">
        <v>2078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</row>
    <row r="918" spans="1:59" s="9" customFormat="1" ht="45" x14ac:dyDescent="0.25">
      <c r="B918" s="36">
        <v>939</v>
      </c>
      <c r="C918" s="36" t="s">
        <v>1903</v>
      </c>
      <c r="D918" s="36" t="s">
        <v>278</v>
      </c>
      <c r="E918" s="36" t="s">
        <v>2317</v>
      </c>
      <c r="F918" s="39">
        <v>15748</v>
      </c>
      <c r="G918" s="47" t="s">
        <v>2071</v>
      </c>
      <c r="H918" s="41" t="s">
        <v>56</v>
      </c>
      <c r="I918" s="52" t="s">
        <v>24</v>
      </c>
      <c r="J918" s="52" t="s">
        <v>3</v>
      </c>
      <c r="K918" s="42" t="s">
        <v>2079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</row>
    <row r="919" spans="1:59" s="9" customFormat="1" ht="45" x14ac:dyDescent="0.25">
      <c r="B919" s="36">
        <v>940</v>
      </c>
      <c r="C919" s="36" t="s">
        <v>277</v>
      </c>
      <c r="D919" s="36" t="s">
        <v>278</v>
      </c>
      <c r="E919" s="36" t="s">
        <v>2369</v>
      </c>
      <c r="F919" s="39">
        <v>15500.8</v>
      </c>
      <c r="G919" s="47" t="s">
        <v>2071</v>
      </c>
      <c r="H919" s="41" t="s">
        <v>56</v>
      </c>
      <c r="I919" s="52" t="s">
        <v>24</v>
      </c>
      <c r="J919" s="52" t="s">
        <v>3</v>
      </c>
      <c r="K919" s="42" t="s">
        <v>2080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</row>
    <row r="920" spans="1:59" s="9" customFormat="1" ht="45" x14ac:dyDescent="0.25">
      <c r="B920" s="36">
        <v>3</v>
      </c>
      <c r="C920" s="36" t="s">
        <v>120</v>
      </c>
      <c r="D920" s="36" t="s">
        <v>1156</v>
      </c>
      <c r="E920" s="36">
        <v>510</v>
      </c>
      <c r="F920" s="39">
        <v>510</v>
      </c>
      <c r="G920" s="47" t="s">
        <v>2081</v>
      </c>
      <c r="H920" s="41" t="s">
        <v>56</v>
      </c>
      <c r="I920" s="52" t="s">
        <v>24</v>
      </c>
      <c r="J920" s="52" t="s">
        <v>3</v>
      </c>
      <c r="K920" s="42" t="s">
        <v>2082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</row>
    <row r="921" spans="1:59" s="3" customFormat="1" ht="45" x14ac:dyDescent="0.25">
      <c r="B921" s="36">
        <v>941</v>
      </c>
      <c r="C921" s="36" t="s">
        <v>193</v>
      </c>
      <c r="D921" s="36" t="s">
        <v>1975</v>
      </c>
      <c r="E921" s="36">
        <f>465+30</f>
        <v>495</v>
      </c>
      <c r="F921" s="39">
        <v>1000</v>
      </c>
      <c r="G921" s="47" t="s">
        <v>2081</v>
      </c>
      <c r="H921" s="41" t="s">
        <v>56</v>
      </c>
      <c r="I921" s="52" t="s">
        <v>24</v>
      </c>
      <c r="J921" s="52" t="s">
        <v>18</v>
      </c>
      <c r="K921" s="42" t="s">
        <v>2083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</row>
    <row r="922" spans="1:59" s="9" customFormat="1" ht="45" x14ac:dyDescent="0.25">
      <c r="B922" s="36">
        <v>942</v>
      </c>
      <c r="C922" s="36" t="s">
        <v>272</v>
      </c>
      <c r="D922" s="36" t="s">
        <v>110</v>
      </c>
      <c r="E922" s="36" t="s">
        <v>2358</v>
      </c>
      <c r="F922" s="39">
        <v>2840</v>
      </c>
      <c r="G922" s="47" t="s">
        <v>2081</v>
      </c>
      <c r="H922" s="41" t="s">
        <v>56</v>
      </c>
      <c r="I922" s="52" t="s">
        <v>24</v>
      </c>
      <c r="J922" s="52" t="s">
        <v>3</v>
      </c>
      <c r="K922" s="42" t="s">
        <v>2084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</row>
    <row r="923" spans="1:59" s="9" customFormat="1" ht="45" x14ac:dyDescent="0.25">
      <c r="B923" s="36">
        <v>943</v>
      </c>
      <c r="C923" s="36" t="s">
        <v>470</v>
      </c>
      <c r="D923" s="36" t="s">
        <v>1156</v>
      </c>
      <c r="E923" s="36" t="s">
        <v>2349</v>
      </c>
      <c r="F923" s="39">
        <v>1639.55</v>
      </c>
      <c r="G923" s="47" t="s">
        <v>2085</v>
      </c>
      <c r="H923" s="41" t="s">
        <v>56</v>
      </c>
      <c r="I923" s="52" t="s">
        <v>24</v>
      </c>
      <c r="J923" s="52" t="s">
        <v>3</v>
      </c>
      <c r="K923" s="42" t="s">
        <v>2086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</row>
    <row r="924" spans="1:59" ht="45" x14ac:dyDescent="0.25">
      <c r="A924" s="1"/>
      <c r="B924" s="36">
        <v>944</v>
      </c>
      <c r="C924" s="36" t="s">
        <v>1886</v>
      </c>
      <c r="D924" s="36" t="s">
        <v>108</v>
      </c>
      <c r="E924" s="36">
        <v>982.1</v>
      </c>
      <c r="F924" s="39">
        <v>1080</v>
      </c>
      <c r="G924" s="47" t="s">
        <v>2085</v>
      </c>
      <c r="H924" s="41" t="s">
        <v>56</v>
      </c>
      <c r="I924" s="52" t="s">
        <v>24</v>
      </c>
      <c r="J924" s="52" t="s">
        <v>3</v>
      </c>
      <c r="K924" s="42" t="s">
        <v>2087</v>
      </c>
    </row>
    <row r="925" spans="1:59" ht="45" x14ac:dyDescent="0.25">
      <c r="A925" s="1"/>
      <c r="B925" s="36">
        <v>945</v>
      </c>
      <c r="C925" s="36" t="s">
        <v>1887</v>
      </c>
      <c r="D925" s="36" t="s">
        <v>1888</v>
      </c>
      <c r="E925" s="36">
        <v>210</v>
      </c>
      <c r="F925" s="39">
        <v>210</v>
      </c>
      <c r="G925" s="47" t="s">
        <v>2085</v>
      </c>
      <c r="H925" s="41" t="s">
        <v>56</v>
      </c>
      <c r="I925" s="52" t="s">
        <v>24</v>
      </c>
      <c r="J925" s="52" t="s">
        <v>3</v>
      </c>
      <c r="K925" s="42" t="s">
        <v>2088</v>
      </c>
    </row>
    <row r="926" spans="1:59" s="9" customFormat="1" ht="45" x14ac:dyDescent="0.25">
      <c r="B926" s="36">
        <v>946</v>
      </c>
      <c r="C926" s="36" t="s">
        <v>322</v>
      </c>
      <c r="D926" s="36" t="s">
        <v>108</v>
      </c>
      <c r="E926" s="36">
        <f>136.62+43.47+43.47+41.4+500.94</f>
        <v>765.9</v>
      </c>
      <c r="F926" s="39">
        <v>3000</v>
      </c>
      <c r="G926" s="47" t="s">
        <v>2089</v>
      </c>
      <c r="H926" s="41" t="s">
        <v>56</v>
      </c>
      <c r="I926" s="52" t="s">
        <v>24</v>
      </c>
      <c r="J926" s="52" t="s">
        <v>3</v>
      </c>
      <c r="K926" s="42" t="s">
        <v>2090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</row>
    <row r="927" spans="1:59" s="9" customFormat="1" ht="45" x14ac:dyDescent="0.25">
      <c r="B927" s="36">
        <v>947</v>
      </c>
      <c r="C927" s="36" t="s">
        <v>272</v>
      </c>
      <c r="D927" s="36" t="s">
        <v>110</v>
      </c>
      <c r="E927" s="36">
        <v>140</v>
      </c>
      <c r="F927" s="39">
        <v>140</v>
      </c>
      <c r="G927" s="47" t="s">
        <v>2091</v>
      </c>
      <c r="H927" s="41" t="s">
        <v>56</v>
      </c>
      <c r="I927" s="52" t="s">
        <v>24</v>
      </c>
      <c r="J927" s="52" t="s">
        <v>3</v>
      </c>
      <c r="K927" s="42" t="s">
        <v>2092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</row>
    <row r="928" spans="1:59" s="9" customFormat="1" ht="90" x14ac:dyDescent="0.25">
      <c r="B928" s="36">
        <v>948</v>
      </c>
      <c r="C928" s="36" t="s">
        <v>1889</v>
      </c>
      <c r="D928" s="36" t="s">
        <v>1890</v>
      </c>
      <c r="E928" s="36" t="s">
        <v>2335</v>
      </c>
      <c r="F928" s="39">
        <v>66563.199999999997</v>
      </c>
      <c r="G928" s="47" t="s">
        <v>2093</v>
      </c>
      <c r="H928" s="41" t="s">
        <v>56</v>
      </c>
      <c r="I928" s="52" t="s">
        <v>24</v>
      </c>
      <c r="J928" s="52" t="s">
        <v>112</v>
      </c>
      <c r="K928" s="42" t="s">
        <v>2094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</row>
    <row r="929" spans="2:59" s="9" customFormat="1" ht="90" x14ac:dyDescent="0.25">
      <c r="B929" s="36">
        <v>949</v>
      </c>
      <c r="C929" s="36" t="s">
        <v>1891</v>
      </c>
      <c r="D929" s="36" t="s">
        <v>1892</v>
      </c>
      <c r="E929" s="36">
        <f>184687.79+31340.79</f>
        <v>216028.58000000002</v>
      </c>
      <c r="F929" s="39">
        <v>223440</v>
      </c>
      <c r="G929" s="47" t="s">
        <v>2093</v>
      </c>
      <c r="H929" s="41" t="s">
        <v>56</v>
      </c>
      <c r="I929" s="52" t="s">
        <v>24</v>
      </c>
      <c r="J929" s="52" t="s">
        <v>398</v>
      </c>
      <c r="K929" s="42" t="s">
        <v>2095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</row>
    <row r="930" spans="2:59" s="9" customFormat="1" ht="90" x14ac:dyDescent="0.25">
      <c r="B930" s="36">
        <v>950</v>
      </c>
      <c r="C930" s="36" t="s">
        <v>1893</v>
      </c>
      <c r="D930" s="36" t="s">
        <v>1894</v>
      </c>
      <c r="E930" s="36">
        <f>609450.15+989078.05</f>
        <v>1598528.2000000002</v>
      </c>
      <c r="F930" s="39">
        <v>1664000</v>
      </c>
      <c r="G930" s="47" t="s">
        <v>2093</v>
      </c>
      <c r="H930" s="41" t="s">
        <v>56</v>
      </c>
      <c r="I930" s="52" t="s">
        <v>24</v>
      </c>
      <c r="J930" s="52" t="s">
        <v>398</v>
      </c>
      <c r="K930" s="42" t="s">
        <v>2096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</row>
    <row r="931" spans="2:59" s="9" customFormat="1" ht="45" x14ac:dyDescent="0.25">
      <c r="B931" s="36">
        <v>951</v>
      </c>
      <c r="C931" s="36" t="s">
        <v>470</v>
      </c>
      <c r="D931" s="36" t="s">
        <v>1888</v>
      </c>
      <c r="E931" s="36">
        <v>195</v>
      </c>
      <c r="F931" s="39">
        <v>195</v>
      </c>
      <c r="G931" s="47" t="s">
        <v>2093</v>
      </c>
      <c r="H931" s="41" t="s">
        <v>56</v>
      </c>
      <c r="I931" s="52" t="s">
        <v>24</v>
      </c>
      <c r="J931" s="52" t="s">
        <v>3</v>
      </c>
      <c r="K931" s="42" t="s">
        <v>2097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</row>
    <row r="932" spans="2:59" s="9" customFormat="1" ht="90" x14ac:dyDescent="0.25">
      <c r="B932" s="36">
        <v>952</v>
      </c>
      <c r="C932" s="36" t="s">
        <v>1895</v>
      </c>
      <c r="D932" s="36" t="s">
        <v>1896</v>
      </c>
      <c r="E932" s="36">
        <f>1750*4</f>
        <v>7000</v>
      </c>
      <c r="F932" s="39">
        <v>7000</v>
      </c>
      <c r="G932" s="47" t="s">
        <v>2093</v>
      </c>
      <c r="H932" s="41" t="s">
        <v>56</v>
      </c>
      <c r="I932" s="52" t="s">
        <v>24</v>
      </c>
      <c r="J932" s="52" t="s">
        <v>2098</v>
      </c>
      <c r="K932" s="42" t="s">
        <v>2099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</row>
    <row r="933" spans="2:59" s="9" customFormat="1" ht="90" x14ac:dyDescent="0.25">
      <c r="B933" s="36">
        <v>953</v>
      </c>
      <c r="C933" s="36" t="s">
        <v>1897</v>
      </c>
      <c r="D933" s="36" t="s">
        <v>1898</v>
      </c>
      <c r="E933" s="36" t="s">
        <v>2889</v>
      </c>
      <c r="F933" s="39">
        <v>1088000</v>
      </c>
      <c r="G933" s="47" t="s">
        <v>2100</v>
      </c>
      <c r="H933" s="41" t="s">
        <v>56</v>
      </c>
      <c r="I933" s="52" t="s">
        <v>24</v>
      </c>
      <c r="J933" s="52" t="s">
        <v>2098</v>
      </c>
      <c r="K933" s="42" t="s">
        <v>2101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</row>
    <row r="934" spans="2:59" s="9" customFormat="1" ht="90" x14ac:dyDescent="0.25">
      <c r="B934" s="36">
        <v>954</v>
      </c>
      <c r="C934" s="36" t="s">
        <v>1899</v>
      </c>
      <c r="D934" s="36" t="s">
        <v>1900</v>
      </c>
      <c r="E934" s="36">
        <f>398486.65+646704.87</f>
        <v>1045191.52</v>
      </c>
      <c r="F934" s="39">
        <v>1088000</v>
      </c>
      <c r="G934" s="47" t="s">
        <v>2100</v>
      </c>
      <c r="H934" s="41" t="s">
        <v>56</v>
      </c>
      <c r="I934" s="52" t="s">
        <v>24</v>
      </c>
      <c r="J934" s="52" t="s">
        <v>2098</v>
      </c>
      <c r="K934" s="42" t="s">
        <v>2102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</row>
    <row r="935" spans="2:59" s="9" customFormat="1" x14ac:dyDescent="0.25">
      <c r="B935" s="36">
        <v>955</v>
      </c>
      <c r="C935" s="36" t="s">
        <v>921</v>
      </c>
      <c r="D935" s="36" t="s">
        <v>1901</v>
      </c>
      <c r="E935" s="36">
        <v>16140</v>
      </c>
      <c r="F935" s="39">
        <v>16140</v>
      </c>
      <c r="G935" s="47" t="s">
        <v>2103</v>
      </c>
      <c r="H935" s="41" t="s">
        <v>56</v>
      </c>
      <c r="I935" s="52" t="s">
        <v>9</v>
      </c>
      <c r="J935" s="52" t="s">
        <v>2104</v>
      </c>
      <c r="K935" s="4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</row>
    <row r="936" spans="2:59" s="9" customFormat="1" ht="45" x14ac:dyDescent="0.25">
      <c r="B936" s="36">
        <v>956</v>
      </c>
      <c r="C936" s="36" t="s">
        <v>886</v>
      </c>
      <c r="D936" s="36" t="s">
        <v>110</v>
      </c>
      <c r="E936" s="36" t="s">
        <v>2306</v>
      </c>
      <c r="F936" s="39">
        <v>4875</v>
      </c>
      <c r="G936" s="47" t="s">
        <v>2103</v>
      </c>
      <c r="H936" s="41" t="s">
        <v>56</v>
      </c>
      <c r="I936" s="52" t="s">
        <v>24</v>
      </c>
      <c r="J936" s="46" t="s">
        <v>3</v>
      </c>
      <c r="K936" s="42" t="s">
        <v>2105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</row>
    <row r="937" spans="2:59" s="9" customFormat="1" ht="45" x14ac:dyDescent="0.25">
      <c r="B937" s="36">
        <v>957</v>
      </c>
      <c r="C937" s="36" t="s">
        <v>886</v>
      </c>
      <c r="D937" s="36" t="s">
        <v>232</v>
      </c>
      <c r="E937" s="36" t="s">
        <v>2559</v>
      </c>
      <c r="F937" s="39">
        <v>4106.25</v>
      </c>
      <c r="G937" s="47" t="s">
        <v>2103</v>
      </c>
      <c r="H937" s="41" t="s">
        <v>56</v>
      </c>
      <c r="I937" s="52" t="s">
        <v>24</v>
      </c>
      <c r="J937" s="46" t="s">
        <v>3</v>
      </c>
      <c r="K937" s="42" t="s">
        <v>2106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</row>
    <row r="938" spans="2:59" s="9" customFormat="1" ht="45" x14ac:dyDescent="0.25">
      <c r="B938" s="36">
        <v>958</v>
      </c>
      <c r="C938" s="36" t="s">
        <v>1902</v>
      </c>
      <c r="D938" s="36" t="s">
        <v>1156</v>
      </c>
      <c r="E938" s="36" t="s">
        <v>2575</v>
      </c>
      <c r="F938" s="39">
        <v>8357.7999999999993</v>
      </c>
      <c r="G938" s="47" t="s">
        <v>2103</v>
      </c>
      <c r="H938" s="41" t="s">
        <v>56</v>
      </c>
      <c r="I938" s="52" t="s">
        <v>24</v>
      </c>
      <c r="J938" s="52" t="s">
        <v>3</v>
      </c>
      <c r="K938" s="42" t="s">
        <v>2107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</row>
    <row r="939" spans="2:59" s="9" customFormat="1" ht="45" x14ac:dyDescent="0.25">
      <c r="B939" s="36">
        <v>959</v>
      </c>
      <c r="C939" s="36" t="s">
        <v>137</v>
      </c>
      <c r="D939" s="36" t="s">
        <v>108</v>
      </c>
      <c r="E939" s="36">
        <f>1041.48+564.79+315.41+333.63</f>
        <v>2255.31</v>
      </c>
      <c r="F939" s="39">
        <v>5000</v>
      </c>
      <c r="G939" s="39" t="s">
        <v>2103</v>
      </c>
      <c r="H939" s="39" t="s">
        <v>56</v>
      </c>
      <c r="I939" s="52" t="s">
        <v>24</v>
      </c>
      <c r="J939" s="51" t="s">
        <v>3</v>
      </c>
      <c r="K939" s="42" t="s">
        <v>2108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</row>
    <row r="940" spans="2:59" s="9" customFormat="1" ht="45" x14ac:dyDescent="0.25">
      <c r="B940" s="36">
        <v>960</v>
      </c>
      <c r="C940" s="36" t="s">
        <v>264</v>
      </c>
      <c r="D940" s="36" t="s">
        <v>232</v>
      </c>
      <c r="E940" s="36" t="s">
        <v>2361</v>
      </c>
      <c r="F940" s="39">
        <v>3525</v>
      </c>
      <c r="G940" s="39" t="s">
        <v>2103</v>
      </c>
      <c r="H940" s="39" t="s">
        <v>56</v>
      </c>
      <c r="I940" s="52" t="s">
        <v>24</v>
      </c>
      <c r="J940" s="51" t="s">
        <v>3</v>
      </c>
      <c r="K940" s="42" t="s">
        <v>2109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</row>
    <row r="941" spans="2:59" s="9" customFormat="1" ht="45" x14ac:dyDescent="0.25">
      <c r="B941" s="36">
        <v>961</v>
      </c>
      <c r="C941" s="36" t="s">
        <v>1343</v>
      </c>
      <c r="D941" s="36" t="s">
        <v>232</v>
      </c>
      <c r="E941" s="36" t="s">
        <v>2362</v>
      </c>
      <c r="F941" s="39">
        <v>2875</v>
      </c>
      <c r="G941" s="39" t="s">
        <v>2103</v>
      </c>
      <c r="H941" s="39" t="s">
        <v>56</v>
      </c>
      <c r="I941" s="52" t="s">
        <v>24</v>
      </c>
      <c r="J941" s="46" t="s">
        <v>3</v>
      </c>
      <c r="K941" s="42" t="s">
        <v>2110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</row>
    <row r="942" spans="2:59" s="9" customFormat="1" ht="45" x14ac:dyDescent="0.25">
      <c r="B942" s="36">
        <v>962</v>
      </c>
      <c r="C942" s="36" t="s">
        <v>272</v>
      </c>
      <c r="D942" s="36" t="s">
        <v>110</v>
      </c>
      <c r="E942" s="36" t="s">
        <v>2569</v>
      </c>
      <c r="F942" s="39" t="s">
        <v>2569</v>
      </c>
      <c r="G942" s="39" t="s">
        <v>2103</v>
      </c>
      <c r="H942" s="39" t="s">
        <v>56</v>
      </c>
      <c r="I942" s="52" t="s">
        <v>24</v>
      </c>
      <c r="J942" s="46" t="s">
        <v>3</v>
      </c>
      <c r="K942" s="42" t="s">
        <v>2111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</row>
    <row r="943" spans="2:59" s="9" customFormat="1" ht="45" x14ac:dyDescent="0.25">
      <c r="B943" s="36">
        <v>963</v>
      </c>
      <c r="C943" s="36" t="s">
        <v>947</v>
      </c>
      <c r="D943" s="36" t="s">
        <v>1156</v>
      </c>
      <c r="E943" s="36" t="s">
        <v>2374</v>
      </c>
      <c r="F943" s="39">
        <v>35601.67</v>
      </c>
      <c r="G943" s="39" t="s">
        <v>2103</v>
      </c>
      <c r="H943" s="39" t="s">
        <v>56</v>
      </c>
      <c r="I943" s="52" t="s">
        <v>24</v>
      </c>
      <c r="J943" s="46" t="s">
        <v>3</v>
      </c>
      <c r="K943" s="42" t="s">
        <v>2112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</row>
    <row r="944" spans="2:59" s="9" customFormat="1" ht="45" x14ac:dyDescent="0.25">
      <c r="B944" s="36">
        <v>964</v>
      </c>
      <c r="C944" s="36" t="s">
        <v>277</v>
      </c>
      <c r="D944" s="36" t="s">
        <v>278</v>
      </c>
      <c r="E944" s="36" t="s">
        <v>2368</v>
      </c>
      <c r="F944" s="39">
        <v>6900</v>
      </c>
      <c r="G944" s="39" t="s">
        <v>2103</v>
      </c>
      <c r="H944" s="39" t="s">
        <v>56</v>
      </c>
      <c r="I944" s="52" t="s">
        <v>24</v>
      </c>
      <c r="J944" s="46" t="s">
        <v>3</v>
      </c>
      <c r="K944" s="42" t="s">
        <v>2113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</row>
    <row r="945" spans="2:59" s="9" customFormat="1" ht="45" x14ac:dyDescent="0.25">
      <c r="B945" s="36">
        <v>965</v>
      </c>
      <c r="C945" s="36" t="s">
        <v>277</v>
      </c>
      <c r="D945" s="36" t="s">
        <v>278</v>
      </c>
      <c r="E945" s="36" t="s">
        <v>579</v>
      </c>
      <c r="F945" s="39">
        <v>1500</v>
      </c>
      <c r="G945" s="39" t="s">
        <v>2103</v>
      </c>
      <c r="H945" s="39" t="s">
        <v>56</v>
      </c>
      <c r="I945" s="52" t="s">
        <v>24</v>
      </c>
      <c r="J945" s="46" t="s">
        <v>3</v>
      </c>
      <c r="K945" s="42" t="s">
        <v>2114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</row>
    <row r="946" spans="2:59" s="9" customFormat="1" ht="45" x14ac:dyDescent="0.25">
      <c r="B946" s="36">
        <v>966</v>
      </c>
      <c r="C946" s="36" t="s">
        <v>1903</v>
      </c>
      <c r="D946" s="36" t="s">
        <v>278</v>
      </c>
      <c r="E946" s="36" t="s">
        <v>2359</v>
      </c>
      <c r="F946" s="39">
        <v>5433</v>
      </c>
      <c r="G946" s="39" t="s">
        <v>2103</v>
      </c>
      <c r="H946" s="39" t="s">
        <v>56</v>
      </c>
      <c r="I946" s="52" t="s">
        <v>24</v>
      </c>
      <c r="J946" s="46" t="s">
        <v>3</v>
      </c>
      <c r="K946" s="42" t="s">
        <v>2115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</row>
    <row r="947" spans="2:59" s="9" customFormat="1" ht="45" x14ac:dyDescent="0.25">
      <c r="B947" s="36">
        <v>967</v>
      </c>
      <c r="C947" s="36" t="s">
        <v>277</v>
      </c>
      <c r="D947" s="36" t="s">
        <v>278</v>
      </c>
      <c r="E947" s="36" t="s">
        <v>2367</v>
      </c>
      <c r="F947" s="39">
        <v>25396.6</v>
      </c>
      <c r="G947" s="39" t="s">
        <v>2103</v>
      </c>
      <c r="H947" s="39" t="s">
        <v>56</v>
      </c>
      <c r="I947" s="52" t="s">
        <v>24</v>
      </c>
      <c r="J947" s="46" t="s">
        <v>3</v>
      </c>
      <c r="K947" s="42" t="s">
        <v>2116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</row>
    <row r="948" spans="2:59" s="9" customFormat="1" ht="45" x14ac:dyDescent="0.25">
      <c r="B948" s="36">
        <v>968</v>
      </c>
      <c r="C948" s="36" t="s">
        <v>1904</v>
      </c>
      <c r="D948" s="36" t="s">
        <v>108</v>
      </c>
      <c r="E948" s="36">
        <f xml:space="preserve"> 805.86+451.93</f>
        <v>1257.79</v>
      </c>
      <c r="F948" s="39">
        <v>5000</v>
      </c>
      <c r="G948" s="39" t="s">
        <v>2117</v>
      </c>
      <c r="H948" s="39" t="s">
        <v>56</v>
      </c>
      <c r="I948" s="52" t="s">
        <v>24</v>
      </c>
      <c r="J948" s="46" t="s">
        <v>3</v>
      </c>
      <c r="K948" s="42" t="s">
        <v>2199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</row>
    <row r="949" spans="2:59" s="9" customFormat="1" ht="45" x14ac:dyDescent="0.25">
      <c r="B949" s="36">
        <v>969</v>
      </c>
      <c r="C949" s="36" t="s">
        <v>1905</v>
      </c>
      <c r="D949" s="36" t="s">
        <v>108</v>
      </c>
      <c r="E949" s="36">
        <f>982.3+116.6+603.9</f>
        <v>1702.7999999999997</v>
      </c>
      <c r="F949" s="39">
        <v>7000</v>
      </c>
      <c r="G949" s="39" t="s">
        <v>2117</v>
      </c>
      <c r="H949" s="39" t="s">
        <v>56</v>
      </c>
      <c r="I949" s="52" t="s">
        <v>24</v>
      </c>
      <c r="J949" s="46" t="s">
        <v>3</v>
      </c>
      <c r="K949" s="42" t="s">
        <v>2200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</row>
    <row r="950" spans="2:59" s="9" customFormat="1" ht="45" x14ac:dyDescent="0.25">
      <c r="B950" s="36">
        <v>970</v>
      </c>
      <c r="C950" s="36" t="s">
        <v>1652</v>
      </c>
      <c r="D950" s="36" t="s">
        <v>108</v>
      </c>
      <c r="E950" s="36">
        <v>995.67</v>
      </c>
      <c r="F950" s="39">
        <v>1100</v>
      </c>
      <c r="G950" s="39" t="s">
        <v>2117</v>
      </c>
      <c r="H950" s="39" t="s">
        <v>56</v>
      </c>
      <c r="I950" s="52" t="s">
        <v>24</v>
      </c>
      <c r="J950" s="46" t="s">
        <v>3</v>
      </c>
      <c r="K950" s="42" t="s">
        <v>2201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</row>
    <row r="951" spans="2:59" s="9" customFormat="1" ht="45" x14ac:dyDescent="0.25">
      <c r="B951" s="36">
        <v>972</v>
      </c>
      <c r="C951" s="36" t="s">
        <v>266</v>
      </c>
      <c r="D951" s="36" t="s">
        <v>108</v>
      </c>
      <c r="E951" s="36">
        <v>867.25</v>
      </c>
      <c r="F951" s="39">
        <v>950</v>
      </c>
      <c r="G951" s="39" t="s">
        <v>2117</v>
      </c>
      <c r="H951" s="39" t="s">
        <v>56</v>
      </c>
      <c r="I951" s="52" t="s">
        <v>24</v>
      </c>
      <c r="J951" s="46" t="s">
        <v>3</v>
      </c>
      <c r="K951" s="42" t="s">
        <v>2202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</row>
    <row r="952" spans="2:59" s="9" customFormat="1" ht="56.25" x14ac:dyDescent="0.25">
      <c r="B952" s="36">
        <v>973</v>
      </c>
      <c r="C952" s="36" t="s">
        <v>1906</v>
      </c>
      <c r="D952" s="36" t="s">
        <v>72</v>
      </c>
      <c r="E952" s="36">
        <f>32+46+39+7+74</f>
        <v>198</v>
      </c>
      <c r="F952" s="39">
        <v>1000</v>
      </c>
      <c r="G952" s="39" t="s">
        <v>2117</v>
      </c>
      <c r="H952" s="39" t="s">
        <v>56</v>
      </c>
      <c r="I952" s="52" t="s">
        <v>24</v>
      </c>
      <c r="J952" s="46" t="s">
        <v>3</v>
      </c>
      <c r="K952" s="42" t="s">
        <v>2118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</row>
    <row r="953" spans="2:59" s="9" customFormat="1" ht="45" x14ac:dyDescent="0.25">
      <c r="B953" s="36">
        <v>974</v>
      </c>
      <c r="C953" s="36" t="s">
        <v>1803</v>
      </c>
      <c r="D953" s="36" t="s">
        <v>1156</v>
      </c>
      <c r="E953" s="36">
        <v>110</v>
      </c>
      <c r="F953" s="39">
        <v>110</v>
      </c>
      <c r="G953" s="39" t="s">
        <v>2117</v>
      </c>
      <c r="H953" s="39" t="s">
        <v>56</v>
      </c>
      <c r="I953" s="52" t="s">
        <v>24</v>
      </c>
      <c r="J953" s="46" t="s">
        <v>3</v>
      </c>
      <c r="K953" s="42" t="s">
        <v>2203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</row>
    <row r="954" spans="2:59" s="9" customFormat="1" ht="45" x14ac:dyDescent="0.25">
      <c r="B954" s="36">
        <v>975</v>
      </c>
      <c r="C954" s="36" t="s">
        <v>234</v>
      </c>
      <c r="D954" s="36" t="s">
        <v>1156</v>
      </c>
      <c r="E954" s="36">
        <v>165</v>
      </c>
      <c r="F954" s="39">
        <v>165</v>
      </c>
      <c r="G954" s="39" t="s">
        <v>2117</v>
      </c>
      <c r="H954" s="39" t="s">
        <v>56</v>
      </c>
      <c r="I954" s="52" t="s">
        <v>24</v>
      </c>
      <c r="J954" s="46" t="s">
        <v>3</v>
      </c>
      <c r="K954" s="42" t="s">
        <v>2119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</row>
    <row r="955" spans="2:59" s="9" customFormat="1" ht="45" x14ac:dyDescent="0.25">
      <c r="B955" s="36">
        <v>976</v>
      </c>
      <c r="C955" s="36" t="s">
        <v>1907</v>
      </c>
      <c r="D955" s="36" t="s">
        <v>108</v>
      </c>
      <c r="E955" s="36">
        <v>60</v>
      </c>
      <c r="F955" s="39">
        <v>60</v>
      </c>
      <c r="G955" s="39" t="s">
        <v>2117</v>
      </c>
      <c r="H955" s="39" t="s">
        <v>56</v>
      </c>
      <c r="I955" s="52" t="s">
        <v>24</v>
      </c>
      <c r="J955" s="46" t="s">
        <v>3</v>
      </c>
      <c r="K955" s="42" t="s">
        <v>2120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</row>
    <row r="956" spans="2:59" s="9" customFormat="1" ht="45" x14ac:dyDescent="0.25">
      <c r="B956" s="36">
        <v>977</v>
      </c>
      <c r="C956" s="36" t="s">
        <v>1908</v>
      </c>
      <c r="D956" s="36" t="s">
        <v>108</v>
      </c>
      <c r="E956" s="36">
        <v>50</v>
      </c>
      <c r="F956" s="39">
        <v>50</v>
      </c>
      <c r="G956" s="39" t="s">
        <v>2117</v>
      </c>
      <c r="H956" s="39" t="s">
        <v>56</v>
      </c>
      <c r="I956" s="52" t="s">
        <v>24</v>
      </c>
      <c r="J956" s="46" t="s">
        <v>3</v>
      </c>
      <c r="K956" s="42" t="s">
        <v>2204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</row>
    <row r="957" spans="2:59" s="9" customFormat="1" ht="45" x14ac:dyDescent="0.25">
      <c r="B957" s="36">
        <v>978</v>
      </c>
      <c r="C957" s="36" t="s">
        <v>882</v>
      </c>
      <c r="D957" s="36" t="s">
        <v>108</v>
      </c>
      <c r="E957" s="36">
        <v>60</v>
      </c>
      <c r="F957" s="39">
        <v>60</v>
      </c>
      <c r="G957" s="39" t="s">
        <v>2117</v>
      </c>
      <c r="H957" s="39" t="s">
        <v>56</v>
      </c>
      <c r="I957" s="52" t="s">
        <v>24</v>
      </c>
      <c r="J957" s="46" t="s">
        <v>3</v>
      </c>
      <c r="K957" s="42" t="s">
        <v>2205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</row>
    <row r="958" spans="2:59" s="9" customFormat="1" ht="45" x14ac:dyDescent="0.25">
      <c r="B958" s="36">
        <v>979</v>
      </c>
      <c r="C958" s="36" t="s">
        <v>277</v>
      </c>
      <c r="D958" s="36" t="s">
        <v>278</v>
      </c>
      <c r="E958" s="36" t="s">
        <v>2555</v>
      </c>
      <c r="F958" s="39">
        <v>7351.1</v>
      </c>
      <c r="G958" s="39" t="s">
        <v>2117</v>
      </c>
      <c r="H958" s="39" t="s">
        <v>56</v>
      </c>
      <c r="I958" s="52" t="s">
        <v>24</v>
      </c>
      <c r="J958" s="46" t="s">
        <v>3</v>
      </c>
      <c r="K958" s="42" t="s">
        <v>2206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</row>
    <row r="959" spans="2:59" s="9" customFormat="1" ht="45" x14ac:dyDescent="0.25">
      <c r="B959" s="36">
        <v>980</v>
      </c>
      <c r="C959" s="36" t="s">
        <v>865</v>
      </c>
      <c r="D959" s="36" t="s">
        <v>108</v>
      </c>
      <c r="E959" s="36">
        <v>50</v>
      </c>
      <c r="F959" s="39">
        <v>50</v>
      </c>
      <c r="G959" s="39" t="s">
        <v>2117</v>
      </c>
      <c r="H959" s="39" t="s">
        <v>56</v>
      </c>
      <c r="I959" s="52" t="s">
        <v>24</v>
      </c>
      <c r="J959" s="46" t="s">
        <v>3</v>
      </c>
      <c r="K959" s="42" t="s">
        <v>2207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</row>
    <row r="960" spans="2:59" s="3" customFormat="1" ht="45.75" x14ac:dyDescent="0.25">
      <c r="B960" s="36">
        <v>981</v>
      </c>
      <c r="C960" s="36" t="s">
        <v>1909</v>
      </c>
      <c r="D960" s="36" t="s">
        <v>1910</v>
      </c>
      <c r="E960" s="36">
        <v>25</v>
      </c>
      <c r="F960" s="39">
        <v>25</v>
      </c>
      <c r="G960" s="39" t="s">
        <v>2117</v>
      </c>
      <c r="H960" s="39" t="s">
        <v>56</v>
      </c>
      <c r="I960" s="52" t="s">
        <v>24</v>
      </c>
      <c r="J960" s="46" t="s">
        <v>6</v>
      </c>
      <c r="K960" s="42" t="s">
        <v>2121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</row>
    <row r="961" spans="1:59" s="9" customFormat="1" ht="45" x14ac:dyDescent="0.25">
      <c r="B961" s="36">
        <v>982</v>
      </c>
      <c r="C961" s="36" t="s">
        <v>1911</v>
      </c>
      <c r="D961" s="36" t="s">
        <v>1156</v>
      </c>
      <c r="E961" s="36">
        <v>320</v>
      </c>
      <c r="F961" s="39">
        <v>320</v>
      </c>
      <c r="G961" s="39" t="s">
        <v>2117</v>
      </c>
      <c r="H961" s="39" t="s">
        <v>56</v>
      </c>
      <c r="I961" s="52" t="s">
        <v>24</v>
      </c>
      <c r="J961" s="46" t="s">
        <v>3</v>
      </c>
      <c r="K961" s="42" t="s">
        <v>2208</v>
      </c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</row>
    <row r="962" spans="1:59" s="9" customFormat="1" ht="45" x14ac:dyDescent="0.25">
      <c r="B962" s="36">
        <v>983</v>
      </c>
      <c r="C962" s="36" t="s">
        <v>1903</v>
      </c>
      <c r="D962" s="36" t="s">
        <v>278</v>
      </c>
      <c r="E962" s="36" t="s">
        <v>2556</v>
      </c>
      <c r="F962" s="39">
        <v>2570</v>
      </c>
      <c r="G962" s="39" t="s">
        <v>2117</v>
      </c>
      <c r="H962" s="39" t="s">
        <v>56</v>
      </c>
      <c r="I962" s="52"/>
      <c r="J962" s="46" t="s">
        <v>3</v>
      </c>
      <c r="K962" s="42" t="s">
        <v>2209</v>
      </c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</row>
    <row r="963" spans="1:59" ht="45" x14ac:dyDescent="0.25">
      <c r="A963" s="1"/>
      <c r="B963" s="36">
        <v>984</v>
      </c>
      <c r="C963" s="36" t="s">
        <v>1903</v>
      </c>
      <c r="D963" s="36" t="s">
        <v>278</v>
      </c>
      <c r="E963" s="36" t="s">
        <v>2360</v>
      </c>
      <c r="F963" s="39">
        <v>2380</v>
      </c>
      <c r="G963" s="39" t="s">
        <v>2117</v>
      </c>
      <c r="H963" s="39" t="s">
        <v>56</v>
      </c>
      <c r="I963" s="52" t="s">
        <v>24</v>
      </c>
      <c r="J963" s="46" t="s">
        <v>3</v>
      </c>
      <c r="K963" s="42" t="s">
        <v>2122</v>
      </c>
    </row>
    <row r="964" spans="1:59" s="9" customFormat="1" ht="45" x14ac:dyDescent="0.25">
      <c r="B964" s="36">
        <v>985</v>
      </c>
      <c r="C964" s="36" t="s">
        <v>1912</v>
      </c>
      <c r="D964" s="36" t="s">
        <v>1156</v>
      </c>
      <c r="E964" s="36" t="s">
        <v>2371</v>
      </c>
      <c r="F964" s="39">
        <v>8340</v>
      </c>
      <c r="G964" s="39" t="s">
        <v>2123</v>
      </c>
      <c r="H964" s="39" t="s">
        <v>56</v>
      </c>
      <c r="I964" s="52" t="s">
        <v>24</v>
      </c>
      <c r="J964" s="46" t="s">
        <v>3</v>
      </c>
      <c r="K964" s="42" t="s">
        <v>2210</v>
      </c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</row>
    <row r="965" spans="1:59" s="9" customFormat="1" ht="45" x14ac:dyDescent="0.25">
      <c r="B965" s="36">
        <v>986</v>
      </c>
      <c r="C965" s="36" t="s">
        <v>1913</v>
      </c>
      <c r="D965" s="36" t="s">
        <v>110</v>
      </c>
      <c r="E965" s="36" t="s">
        <v>2372</v>
      </c>
      <c r="F965" s="39">
        <v>1470</v>
      </c>
      <c r="G965" s="39" t="s">
        <v>2123</v>
      </c>
      <c r="H965" s="39" t="s">
        <v>56</v>
      </c>
      <c r="I965" s="52" t="s">
        <v>24</v>
      </c>
      <c r="J965" s="46" t="s">
        <v>3</v>
      </c>
      <c r="K965" s="42" t="s">
        <v>2124</v>
      </c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</row>
    <row r="966" spans="1:59" s="9" customFormat="1" ht="45" x14ac:dyDescent="0.25">
      <c r="B966" s="36">
        <v>987</v>
      </c>
      <c r="C966" s="36" t="s">
        <v>1914</v>
      </c>
      <c r="D966" s="36" t="s">
        <v>1915</v>
      </c>
      <c r="E966" s="36" t="s">
        <v>2370</v>
      </c>
      <c r="F966" s="39">
        <v>1740</v>
      </c>
      <c r="G966" s="39" t="s">
        <v>2125</v>
      </c>
      <c r="H966" s="39" t="s">
        <v>56</v>
      </c>
      <c r="I966" s="52" t="s">
        <v>24</v>
      </c>
      <c r="J966" s="51" t="s">
        <v>8</v>
      </c>
      <c r="K966" s="42" t="s">
        <v>2211</v>
      </c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</row>
    <row r="967" spans="1:59" s="9" customFormat="1" ht="90" x14ac:dyDescent="0.25">
      <c r="B967" s="36">
        <v>988</v>
      </c>
      <c r="C967" s="36" t="s">
        <v>1916</v>
      </c>
      <c r="D967" s="36" t="s">
        <v>1917</v>
      </c>
      <c r="E967" s="36" t="s">
        <v>2553</v>
      </c>
      <c r="F967" s="39">
        <v>119635.2</v>
      </c>
      <c r="G967" s="39" t="s">
        <v>2125</v>
      </c>
      <c r="H967" s="39" t="s">
        <v>56</v>
      </c>
      <c r="I967" s="52" t="s">
        <v>24</v>
      </c>
      <c r="J967" s="46" t="s">
        <v>112</v>
      </c>
      <c r="K967" s="42" t="s">
        <v>2126</v>
      </c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</row>
    <row r="968" spans="1:59" s="9" customFormat="1" ht="90" x14ac:dyDescent="0.25">
      <c r="B968" s="36">
        <v>989</v>
      </c>
      <c r="C968" s="36" t="s">
        <v>1918</v>
      </c>
      <c r="D968" s="36" t="s">
        <v>1919</v>
      </c>
      <c r="E968" s="36">
        <f>343513.63+1267256.25</f>
        <v>1610769.88</v>
      </c>
      <c r="F968" s="39">
        <v>1664000</v>
      </c>
      <c r="G968" s="39" t="s">
        <v>2127</v>
      </c>
      <c r="H968" s="39" t="s">
        <v>56</v>
      </c>
      <c r="I968" s="52" t="s">
        <v>24</v>
      </c>
      <c r="J968" s="51" t="s">
        <v>398</v>
      </c>
      <c r="K968" s="42" t="s">
        <v>2212</v>
      </c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</row>
    <row r="969" spans="1:59" ht="45" x14ac:dyDescent="0.25">
      <c r="A969" s="1"/>
      <c r="B969" s="36">
        <v>990</v>
      </c>
      <c r="C969" s="36" t="s">
        <v>277</v>
      </c>
      <c r="D969" s="36" t="s">
        <v>278</v>
      </c>
      <c r="E969" s="36" t="s">
        <v>2560</v>
      </c>
      <c r="F969" s="39">
        <v>2965</v>
      </c>
      <c r="G969" s="39" t="s">
        <v>2127</v>
      </c>
      <c r="H969" s="39" t="s">
        <v>56</v>
      </c>
      <c r="I969" s="52" t="s">
        <v>24</v>
      </c>
      <c r="J969" s="46" t="s">
        <v>3</v>
      </c>
      <c r="K969" s="42" t="s">
        <v>2213</v>
      </c>
    </row>
    <row r="970" spans="1:59" s="9" customFormat="1" ht="45" x14ac:dyDescent="0.25">
      <c r="B970" s="36">
        <v>991</v>
      </c>
      <c r="C970" s="36" t="s">
        <v>272</v>
      </c>
      <c r="D970" s="36" t="s">
        <v>110</v>
      </c>
      <c r="E970" s="36">
        <v>760</v>
      </c>
      <c r="F970" s="39">
        <v>760</v>
      </c>
      <c r="G970" s="39" t="s">
        <v>2128</v>
      </c>
      <c r="H970" s="39" t="s">
        <v>56</v>
      </c>
      <c r="I970" s="52" t="s">
        <v>24</v>
      </c>
      <c r="J970" s="46" t="s">
        <v>3</v>
      </c>
      <c r="K970" s="42" t="s">
        <v>2129</v>
      </c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</row>
    <row r="971" spans="1:59" s="3" customFormat="1" ht="45" x14ac:dyDescent="0.25">
      <c r="B971" s="36">
        <v>992</v>
      </c>
      <c r="C971" s="36" t="s">
        <v>470</v>
      </c>
      <c r="D971" s="36" t="s">
        <v>1156</v>
      </c>
      <c r="E971" s="36" t="s">
        <v>2571</v>
      </c>
      <c r="F971" s="39">
        <v>6673.32</v>
      </c>
      <c r="G971" s="39" t="s">
        <v>2128</v>
      </c>
      <c r="H971" s="39" t="s">
        <v>56</v>
      </c>
      <c r="I971" s="52" t="s">
        <v>24</v>
      </c>
      <c r="J971" s="46" t="s">
        <v>3</v>
      </c>
      <c r="K971" s="42" t="s">
        <v>2214</v>
      </c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</row>
    <row r="972" spans="1:59" s="9" customFormat="1" ht="45" x14ac:dyDescent="0.25">
      <c r="B972" s="36">
        <v>993</v>
      </c>
      <c r="C972" s="36" t="s">
        <v>861</v>
      </c>
      <c r="D972" s="36" t="s">
        <v>232</v>
      </c>
      <c r="E972" s="36">
        <v>612.5</v>
      </c>
      <c r="F972" s="39">
        <v>612.5</v>
      </c>
      <c r="G972" s="39" t="s">
        <v>2128</v>
      </c>
      <c r="H972" s="39" t="s">
        <v>56</v>
      </c>
      <c r="I972" s="52" t="s">
        <v>24</v>
      </c>
      <c r="J972" s="46" t="s">
        <v>3</v>
      </c>
      <c r="K972" s="42" t="s">
        <v>2130</v>
      </c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</row>
    <row r="973" spans="1:59" s="9" customFormat="1" ht="45" x14ac:dyDescent="0.25">
      <c r="B973" s="36">
        <v>994</v>
      </c>
      <c r="C973" s="36" t="s">
        <v>153</v>
      </c>
      <c r="D973" s="36" t="s">
        <v>108</v>
      </c>
      <c r="E973" s="36">
        <f>475.2+597.3+239.8+119.9+359.7+358.6</f>
        <v>2150.5</v>
      </c>
      <c r="F973" s="39">
        <v>10000</v>
      </c>
      <c r="G973" s="39" t="s">
        <v>2128</v>
      </c>
      <c r="H973" s="39" t="s">
        <v>56</v>
      </c>
      <c r="I973" s="52" t="s">
        <v>24</v>
      </c>
      <c r="J973" s="46" t="s">
        <v>3</v>
      </c>
      <c r="K973" s="42" t="s">
        <v>2215</v>
      </c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</row>
    <row r="974" spans="1:59" s="9" customFormat="1" ht="45" x14ac:dyDescent="0.25">
      <c r="B974" s="36">
        <v>995</v>
      </c>
      <c r="C974" s="36" t="s">
        <v>1652</v>
      </c>
      <c r="D974" s="36" t="s">
        <v>108</v>
      </c>
      <c r="E974" s="36">
        <v>383.52</v>
      </c>
      <c r="F974" s="39">
        <v>450</v>
      </c>
      <c r="G974" s="39" t="s">
        <v>2128</v>
      </c>
      <c r="H974" s="39" t="s">
        <v>56</v>
      </c>
      <c r="I974" s="52" t="s">
        <v>24</v>
      </c>
      <c r="J974" s="46" t="s">
        <v>3</v>
      </c>
      <c r="K974" s="42" t="s">
        <v>2131</v>
      </c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</row>
    <row r="975" spans="1:59" s="9" customFormat="1" ht="45" x14ac:dyDescent="0.25">
      <c r="B975" s="36">
        <v>996</v>
      </c>
      <c r="C975" s="36" t="s">
        <v>1920</v>
      </c>
      <c r="D975" s="36" t="s">
        <v>1156</v>
      </c>
      <c r="E975" s="36" t="s">
        <v>2567</v>
      </c>
      <c r="F975" s="39">
        <v>4369</v>
      </c>
      <c r="G975" s="39" t="s">
        <v>2128</v>
      </c>
      <c r="H975" s="39" t="s">
        <v>56</v>
      </c>
      <c r="I975" s="52" t="s">
        <v>24</v>
      </c>
      <c r="J975" s="46" t="s">
        <v>3</v>
      </c>
      <c r="K975" s="42" t="s">
        <v>2216</v>
      </c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</row>
    <row r="976" spans="1:59" s="9" customFormat="1" ht="90" x14ac:dyDescent="0.25">
      <c r="B976" s="36">
        <v>997</v>
      </c>
      <c r="C976" s="36" t="s">
        <v>496</v>
      </c>
      <c r="D976" s="36" t="s">
        <v>1921</v>
      </c>
      <c r="E976" s="36" t="s">
        <v>605</v>
      </c>
      <c r="F976" s="39">
        <v>1750</v>
      </c>
      <c r="G976" s="39" t="s">
        <v>2128</v>
      </c>
      <c r="H976" s="39" t="s">
        <v>56</v>
      </c>
      <c r="I976" s="52" t="s">
        <v>24</v>
      </c>
      <c r="J976" s="51" t="s">
        <v>398</v>
      </c>
      <c r="K976" s="42" t="s">
        <v>2217</v>
      </c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</row>
    <row r="977" spans="1:59" s="9" customFormat="1" ht="45" x14ac:dyDescent="0.25">
      <c r="B977" s="36">
        <v>998</v>
      </c>
      <c r="C977" s="36" t="s">
        <v>470</v>
      </c>
      <c r="D977" s="36" t="s">
        <v>1888</v>
      </c>
      <c r="E977" s="36">
        <v>600</v>
      </c>
      <c r="F977" s="39">
        <v>600</v>
      </c>
      <c r="G977" s="39" t="s">
        <v>2128</v>
      </c>
      <c r="H977" s="39" t="s">
        <v>56</v>
      </c>
      <c r="I977" s="52" t="s">
        <v>24</v>
      </c>
      <c r="J977" s="46" t="s">
        <v>3</v>
      </c>
      <c r="K977" s="42" t="s">
        <v>2218</v>
      </c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</row>
    <row r="978" spans="1:59" ht="45" x14ac:dyDescent="0.25">
      <c r="A978" s="1"/>
      <c r="B978" s="36">
        <v>999</v>
      </c>
      <c r="C978" s="36" t="s">
        <v>1815</v>
      </c>
      <c r="D978" s="36" t="s">
        <v>108</v>
      </c>
      <c r="E978" s="36">
        <v>478.4</v>
      </c>
      <c r="F978" s="39">
        <v>480</v>
      </c>
      <c r="G978" s="39" t="s">
        <v>2128</v>
      </c>
      <c r="H978" s="39" t="s">
        <v>56</v>
      </c>
      <c r="I978" s="36" t="s">
        <v>24</v>
      </c>
      <c r="J978" s="46" t="s">
        <v>3</v>
      </c>
      <c r="K978" s="66" t="s">
        <v>2132</v>
      </c>
    </row>
    <row r="979" spans="1:59" s="9" customFormat="1" ht="45" x14ac:dyDescent="0.25">
      <c r="B979" s="36">
        <v>1000</v>
      </c>
      <c r="C979" s="36" t="s">
        <v>1659</v>
      </c>
      <c r="D979" s="36" t="s">
        <v>108</v>
      </c>
      <c r="E979" s="36" t="s">
        <v>2557</v>
      </c>
      <c r="F979" s="39">
        <v>1200</v>
      </c>
      <c r="G979" s="39" t="s">
        <v>2128</v>
      </c>
      <c r="H979" s="39" t="s">
        <v>56</v>
      </c>
      <c r="I979" s="52" t="s">
        <v>24</v>
      </c>
      <c r="J979" s="46" t="s">
        <v>3</v>
      </c>
      <c r="K979" s="42" t="s">
        <v>2219</v>
      </c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</row>
    <row r="980" spans="1:59" s="9" customFormat="1" ht="45" x14ac:dyDescent="0.25">
      <c r="B980" s="36">
        <v>1001</v>
      </c>
      <c r="C980" s="36" t="s">
        <v>1351</v>
      </c>
      <c r="D980" s="36" t="s">
        <v>1156</v>
      </c>
      <c r="E980" s="36">
        <v>140</v>
      </c>
      <c r="F980" s="39">
        <v>140</v>
      </c>
      <c r="G980" s="39" t="s">
        <v>2128</v>
      </c>
      <c r="H980" s="39" t="s">
        <v>56</v>
      </c>
      <c r="I980" s="52" t="s">
        <v>24</v>
      </c>
      <c r="J980" s="46" t="s">
        <v>3</v>
      </c>
      <c r="K980" s="42" t="s">
        <v>2220</v>
      </c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</row>
    <row r="981" spans="1:59" ht="45" x14ac:dyDescent="0.25">
      <c r="A981" s="1"/>
      <c r="B981" s="36">
        <v>1002</v>
      </c>
      <c r="C981" s="36" t="s">
        <v>1321</v>
      </c>
      <c r="D981" s="36" t="s">
        <v>1156</v>
      </c>
      <c r="E981" s="36">
        <v>200</v>
      </c>
      <c r="F981" s="39">
        <v>200</v>
      </c>
      <c r="G981" s="39" t="s">
        <v>2128</v>
      </c>
      <c r="H981" s="39" t="s">
        <v>56</v>
      </c>
      <c r="I981" s="52" t="s">
        <v>24</v>
      </c>
      <c r="J981" s="46" t="s">
        <v>3</v>
      </c>
      <c r="K981" s="42" t="s">
        <v>2221</v>
      </c>
    </row>
    <row r="982" spans="1:59" s="9" customFormat="1" ht="45" x14ac:dyDescent="0.25">
      <c r="B982" s="36">
        <v>1003</v>
      </c>
      <c r="C982" s="36" t="s">
        <v>109</v>
      </c>
      <c r="D982" s="36" t="s">
        <v>110</v>
      </c>
      <c r="E982" s="36" t="s">
        <v>2558</v>
      </c>
      <c r="F982" s="39">
        <v>1100</v>
      </c>
      <c r="G982" s="39" t="s">
        <v>2128</v>
      </c>
      <c r="H982" s="39" t="s">
        <v>56</v>
      </c>
      <c r="I982" s="52" t="s">
        <v>24</v>
      </c>
      <c r="J982" s="46" t="s">
        <v>3</v>
      </c>
      <c r="K982" s="42" t="s">
        <v>2222</v>
      </c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</row>
    <row r="983" spans="1:59" s="9" customFormat="1" ht="45" x14ac:dyDescent="0.25">
      <c r="B983" s="36">
        <v>1004</v>
      </c>
      <c r="C983" s="36" t="s">
        <v>272</v>
      </c>
      <c r="D983" s="36" t="s">
        <v>110</v>
      </c>
      <c r="E983" s="36" t="s">
        <v>2551</v>
      </c>
      <c r="F983" s="39">
        <v>1580</v>
      </c>
      <c r="G983" s="39" t="s">
        <v>2128</v>
      </c>
      <c r="H983" s="39" t="s">
        <v>56</v>
      </c>
      <c r="I983" s="52" t="s">
        <v>24</v>
      </c>
      <c r="J983" s="46" t="s">
        <v>3</v>
      </c>
      <c r="K983" s="42" t="s">
        <v>2133</v>
      </c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</row>
    <row r="984" spans="1:59" s="9" customFormat="1" ht="45" x14ac:dyDescent="0.25">
      <c r="B984" s="36">
        <v>1005</v>
      </c>
      <c r="C984" s="36" t="s">
        <v>1922</v>
      </c>
      <c r="D984" s="36" t="s">
        <v>108</v>
      </c>
      <c r="E984" s="36" t="s">
        <v>1204</v>
      </c>
      <c r="F984" s="39">
        <v>1200</v>
      </c>
      <c r="G984" s="39" t="s">
        <v>2128</v>
      </c>
      <c r="H984" s="39" t="s">
        <v>56</v>
      </c>
      <c r="I984" s="52" t="s">
        <v>24</v>
      </c>
      <c r="J984" s="46" t="s">
        <v>3</v>
      </c>
      <c r="K984" s="42" t="s">
        <v>2223</v>
      </c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</row>
    <row r="985" spans="1:59" s="9" customFormat="1" ht="45" x14ac:dyDescent="0.25">
      <c r="B985" s="36">
        <v>1006</v>
      </c>
      <c r="C985" s="36" t="s">
        <v>1922</v>
      </c>
      <c r="D985" s="36" t="s">
        <v>1156</v>
      </c>
      <c r="E985" s="36" t="s">
        <v>2373</v>
      </c>
      <c r="F985" s="39">
        <v>2940</v>
      </c>
      <c r="G985" s="39" t="s">
        <v>2128</v>
      </c>
      <c r="H985" s="39" t="s">
        <v>56</v>
      </c>
      <c r="I985" s="52" t="s">
        <v>24</v>
      </c>
      <c r="J985" s="46" t="s">
        <v>3</v>
      </c>
      <c r="K985" s="42" t="s">
        <v>2134</v>
      </c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</row>
    <row r="986" spans="1:59" s="9" customFormat="1" ht="45" x14ac:dyDescent="0.25">
      <c r="B986" s="36">
        <v>1007</v>
      </c>
      <c r="C986" s="36" t="s">
        <v>1923</v>
      </c>
      <c r="D986" s="36" t="s">
        <v>108</v>
      </c>
      <c r="E986" s="36" t="s">
        <v>2552</v>
      </c>
      <c r="F986" s="39">
        <v>1500</v>
      </c>
      <c r="G986" s="39" t="s">
        <v>2128</v>
      </c>
      <c r="H986" s="39" t="s">
        <v>56</v>
      </c>
      <c r="I986" s="52" t="s">
        <v>24</v>
      </c>
      <c r="J986" s="46" t="s">
        <v>3</v>
      </c>
      <c r="K986" s="42" t="s">
        <v>2135</v>
      </c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</row>
    <row r="987" spans="1:59" s="9" customFormat="1" ht="45" x14ac:dyDescent="0.25">
      <c r="B987" s="36">
        <v>1008</v>
      </c>
      <c r="C987" s="36" t="s">
        <v>1924</v>
      </c>
      <c r="D987" s="36" t="s">
        <v>108</v>
      </c>
      <c r="E987" s="36" t="s">
        <v>2603</v>
      </c>
      <c r="F987" s="39">
        <v>1200</v>
      </c>
      <c r="G987" s="39" t="s">
        <v>2128</v>
      </c>
      <c r="H987" s="39" t="s">
        <v>56</v>
      </c>
      <c r="I987" s="52" t="s">
        <v>24</v>
      </c>
      <c r="J987" s="46" t="s">
        <v>3</v>
      </c>
      <c r="K987" s="42" t="s">
        <v>2136</v>
      </c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</row>
    <row r="988" spans="1:59" s="9" customFormat="1" ht="45" x14ac:dyDescent="0.25">
      <c r="B988" s="36">
        <v>1009</v>
      </c>
      <c r="C988" s="36" t="s">
        <v>277</v>
      </c>
      <c r="D988" s="36" t="s">
        <v>487</v>
      </c>
      <c r="E988" s="36" t="s">
        <v>3016</v>
      </c>
      <c r="F988" s="39">
        <v>1159.4000000000001</v>
      </c>
      <c r="G988" s="39" t="s">
        <v>2128</v>
      </c>
      <c r="H988" s="39" t="s">
        <v>56</v>
      </c>
      <c r="I988" s="52" t="s">
        <v>24</v>
      </c>
      <c r="J988" s="46" t="s">
        <v>3</v>
      </c>
      <c r="K988" s="72" t="s">
        <v>2224</v>
      </c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</row>
    <row r="989" spans="1:59" s="3" customFormat="1" ht="45" x14ac:dyDescent="0.25">
      <c r="B989" s="36">
        <v>1010</v>
      </c>
      <c r="C989" s="36" t="s">
        <v>277</v>
      </c>
      <c r="D989" s="36" t="s">
        <v>278</v>
      </c>
      <c r="E989" s="36" t="s">
        <v>2931</v>
      </c>
      <c r="F989" s="39">
        <v>8354.7000000000007</v>
      </c>
      <c r="G989" s="39" t="s">
        <v>2128</v>
      </c>
      <c r="H989" s="39" t="s">
        <v>56</v>
      </c>
      <c r="I989" s="52" t="s">
        <v>24</v>
      </c>
      <c r="J989" s="46" t="s">
        <v>3</v>
      </c>
      <c r="K989" s="42" t="s">
        <v>2225</v>
      </c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</row>
    <row r="990" spans="1:59" ht="45" x14ac:dyDescent="0.25">
      <c r="A990" s="1"/>
      <c r="B990" s="36">
        <v>1011</v>
      </c>
      <c r="C990" s="36" t="s">
        <v>120</v>
      </c>
      <c r="D990" s="36" t="s">
        <v>1888</v>
      </c>
      <c r="E990" s="36">
        <v>354</v>
      </c>
      <c r="F990" s="39">
        <v>354</v>
      </c>
      <c r="G990" s="39" t="s">
        <v>2137</v>
      </c>
      <c r="H990" s="39" t="s">
        <v>56</v>
      </c>
      <c r="I990" s="52" t="s">
        <v>24</v>
      </c>
      <c r="J990" s="46" t="s">
        <v>3</v>
      </c>
      <c r="K990" s="42" t="s">
        <v>2226</v>
      </c>
    </row>
    <row r="991" spans="1:59" s="9" customFormat="1" ht="90" x14ac:dyDescent="0.25">
      <c r="B991" s="36">
        <v>1012</v>
      </c>
      <c r="C991" s="36" t="s">
        <v>1925</v>
      </c>
      <c r="D991" s="36" t="s">
        <v>1926</v>
      </c>
      <c r="E991" s="36" t="s">
        <v>2608</v>
      </c>
      <c r="F991" s="39">
        <v>9440</v>
      </c>
      <c r="G991" s="39" t="s">
        <v>2137</v>
      </c>
      <c r="H991" s="39" t="s">
        <v>56</v>
      </c>
      <c r="I991" s="52" t="s">
        <v>24</v>
      </c>
      <c r="J991" s="51" t="s">
        <v>398</v>
      </c>
      <c r="K991" s="42" t="s">
        <v>2138</v>
      </c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</row>
    <row r="992" spans="1:59" s="9" customFormat="1" ht="90" x14ac:dyDescent="0.25">
      <c r="B992" s="36">
        <v>1013</v>
      </c>
      <c r="C992" s="36" t="s">
        <v>1927</v>
      </c>
      <c r="D992" s="36" t="s">
        <v>1928</v>
      </c>
      <c r="E992" s="36" t="s">
        <v>2586</v>
      </c>
      <c r="F992" s="39">
        <v>57664</v>
      </c>
      <c r="G992" s="39" t="s">
        <v>2137</v>
      </c>
      <c r="H992" s="39" t="s">
        <v>56</v>
      </c>
      <c r="I992" s="52" t="s">
        <v>24</v>
      </c>
      <c r="J992" s="51" t="s">
        <v>112</v>
      </c>
      <c r="K992" s="42" t="s">
        <v>2139</v>
      </c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</row>
    <row r="993" spans="1:59" s="9" customFormat="1" ht="90" x14ac:dyDescent="0.25">
      <c r="B993" s="36">
        <v>1014</v>
      </c>
      <c r="C993" s="36" t="s">
        <v>1929</v>
      </c>
      <c r="D993" s="36" t="s">
        <v>1930</v>
      </c>
      <c r="E993" s="36" t="s">
        <v>2614</v>
      </c>
      <c r="F993" s="39">
        <v>81964.800000000003</v>
      </c>
      <c r="G993" s="39" t="s">
        <v>2137</v>
      </c>
      <c r="H993" s="39" t="s">
        <v>56</v>
      </c>
      <c r="I993" s="52" t="s">
        <v>24</v>
      </c>
      <c r="J993" s="51" t="s">
        <v>112</v>
      </c>
      <c r="K993" s="42" t="s">
        <v>2140</v>
      </c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</row>
    <row r="994" spans="1:59" s="9" customFormat="1" ht="45" x14ac:dyDescent="0.25">
      <c r="B994" s="36">
        <v>1015</v>
      </c>
      <c r="C994" s="36" t="s">
        <v>650</v>
      </c>
      <c r="D994" s="36" t="s">
        <v>1156</v>
      </c>
      <c r="E994" s="36" t="s">
        <v>2580</v>
      </c>
      <c r="F994" s="39">
        <v>1137.52</v>
      </c>
      <c r="G994" s="39" t="s">
        <v>2137</v>
      </c>
      <c r="H994" s="39" t="s">
        <v>56</v>
      </c>
      <c r="I994" s="52" t="s">
        <v>24</v>
      </c>
      <c r="J994" s="46" t="s">
        <v>3</v>
      </c>
      <c r="K994" s="42" t="s">
        <v>2227</v>
      </c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</row>
    <row r="995" spans="1:59" s="9" customFormat="1" ht="45" x14ac:dyDescent="0.25">
      <c r="B995" s="36">
        <v>1016</v>
      </c>
      <c r="C995" s="36" t="s">
        <v>234</v>
      </c>
      <c r="D995" s="36" t="s">
        <v>1156</v>
      </c>
      <c r="E995" s="36">
        <v>330</v>
      </c>
      <c r="F995" s="39">
        <v>330</v>
      </c>
      <c r="G995" s="39" t="s">
        <v>2137</v>
      </c>
      <c r="H995" s="39" t="s">
        <v>56</v>
      </c>
      <c r="I995" s="52" t="s">
        <v>24</v>
      </c>
      <c r="J995" s="46" t="s">
        <v>3</v>
      </c>
      <c r="K995" s="42" t="s">
        <v>2228</v>
      </c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</row>
    <row r="996" spans="1:59" s="9" customFormat="1" ht="45" x14ac:dyDescent="0.25">
      <c r="B996" s="36">
        <v>1017</v>
      </c>
      <c r="C996" s="36" t="s">
        <v>1931</v>
      </c>
      <c r="D996" s="36" t="s">
        <v>108</v>
      </c>
      <c r="E996" s="36">
        <f>198+245.5</f>
        <v>443.5</v>
      </c>
      <c r="F996" s="39">
        <v>3000</v>
      </c>
      <c r="G996" s="39" t="s">
        <v>2137</v>
      </c>
      <c r="H996" s="39" t="s">
        <v>56</v>
      </c>
      <c r="I996" s="52" t="s">
        <v>24</v>
      </c>
      <c r="J996" s="46" t="s">
        <v>3</v>
      </c>
      <c r="K996" s="42" t="s">
        <v>2229</v>
      </c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</row>
    <row r="997" spans="1:59" s="9" customFormat="1" ht="45" x14ac:dyDescent="0.25">
      <c r="B997" s="36">
        <v>1018</v>
      </c>
      <c r="C997" s="36" t="s">
        <v>1343</v>
      </c>
      <c r="D997" s="36" t="s">
        <v>110</v>
      </c>
      <c r="E997" s="36" t="s">
        <v>2572</v>
      </c>
      <c r="F997" s="39">
        <v>4356.5</v>
      </c>
      <c r="G997" s="39" t="s">
        <v>2137</v>
      </c>
      <c r="H997" s="39" t="s">
        <v>56</v>
      </c>
      <c r="I997" s="52" t="s">
        <v>24</v>
      </c>
      <c r="J997" s="46" t="s">
        <v>3</v>
      </c>
      <c r="K997" s="42" t="s">
        <v>2230</v>
      </c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</row>
    <row r="998" spans="1:59" s="9" customFormat="1" ht="45" x14ac:dyDescent="0.25">
      <c r="B998" s="36">
        <v>1019</v>
      </c>
      <c r="C998" s="36" t="s">
        <v>1343</v>
      </c>
      <c r="D998" s="36" t="s">
        <v>232</v>
      </c>
      <c r="E998" s="36" t="s">
        <v>2573</v>
      </c>
      <c r="F998" s="39">
        <v>3312.5</v>
      </c>
      <c r="G998" s="39" t="s">
        <v>2137</v>
      </c>
      <c r="H998" s="39" t="s">
        <v>56</v>
      </c>
      <c r="I998" s="52" t="s">
        <v>24</v>
      </c>
      <c r="J998" s="46" t="s">
        <v>3</v>
      </c>
      <c r="K998" s="42" t="s">
        <v>2231</v>
      </c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</row>
    <row r="999" spans="1:59" s="9" customFormat="1" ht="45" x14ac:dyDescent="0.25">
      <c r="B999" s="36">
        <v>1020</v>
      </c>
      <c r="C999" s="36" t="s">
        <v>277</v>
      </c>
      <c r="D999" s="36" t="s">
        <v>278</v>
      </c>
      <c r="E999" s="36" t="s">
        <v>2905</v>
      </c>
      <c r="F999" s="39">
        <v>2490</v>
      </c>
      <c r="G999" s="39" t="s">
        <v>2137</v>
      </c>
      <c r="H999" s="39" t="s">
        <v>56</v>
      </c>
      <c r="I999" s="52" t="s">
        <v>24</v>
      </c>
      <c r="J999" s="46" t="s">
        <v>3</v>
      </c>
      <c r="K999" s="72" t="s">
        <v>2232</v>
      </c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</row>
    <row r="1000" spans="1:59" s="9" customFormat="1" ht="45" x14ac:dyDescent="0.25">
      <c r="B1000" s="36">
        <v>1021</v>
      </c>
      <c r="C1000" s="36" t="s">
        <v>277</v>
      </c>
      <c r="D1000" s="36" t="s">
        <v>278</v>
      </c>
      <c r="E1000" s="36" t="s">
        <v>2906</v>
      </c>
      <c r="F1000" s="39">
        <v>3480</v>
      </c>
      <c r="G1000" s="39" t="s">
        <v>2137</v>
      </c>
      <c r="H1000" s="39" t="s">
        <v>56</v>
      </c>
      <c r="I1000" s="52" t="s">
        <v>24</v>
      </c>
      <c r="J1000" s="46" t="s">
        <v>3</v>
      </c>
      <c r="K1000" s="72" t="s">
        <v>2233</v>
      </c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</row>
    <row r="1001" spans="1:59" s="9" customFormat="1" ht="45" x14ac:dyDescent="0.25">
      <c r="B1001" s="36">
        <v>1022</v>
      </c>
      <c r="C1001" s="36" t="s">
        <v>277</v>
      </c>
      <c r="D1001" s="36" t="s">
        <v>278</v>
      </c>
      <c r="E1001" s="36" t="s">
        <v>2907</v>
      </c>
      <c r="F1001" s="39">
        <v>4206.3999999999996</v>
      </c>
      <c r="G1001" s="39" t="s">
        <v>2137</v>
      </c>
      <c r="H1001" s="39" t="s">
        <v>56</v>
      </c>
      <c r="I1001" s="52" t="s">
        <v>24</v>
      </c>
      <c r="J1001" s="46" t="s">
        <v>3</v>
      </c>
      <c r="K1001" s="72" t="s">
        <v>2234</v>
      </c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</row>
    <row r="1002" spans="1:59" ht="45" x14ac:dyDescent="0.25">
      <c r="A1002" s="1"/>
      <c r="B1002" s="36">
        <v>1023</v>
      </c>
      <c r="C1002" s="36" t="s">
        <v>1932</v>
      </c>
      <c r="D1002" s="36" t="s">
        <v>1156</v>
      </c>
      <c r="E1002" s="36" t="s">
        <v>2601</v>
      </c>
      <c r="F1002" s="39">
        <v>2884.5</v>
      </c>
      <c r="G1002" s="39" t="s">
        <v>2137</v>
      </c>
      <c r="H1002" s="39" t="s">
        <v>56</v>
      </c>
      <c r="I1002" s="39" t="s">
        <v>24</v>
      </c>
      <c r="J1002" s="46" t="s">
        <v>3</v>
      </c>
      <c r="K1002" s="42" t="s">
        <v>2235</v>
      </c>
    </row>
    <row r="1003" spans="1:59" x14ac:dyDescent="0.25">
      <c r="A1003" s="1"/>
      <c r="B1003" s="36">
        <v>1024</v>
      </c>
      <c r="C1003" s="36" t="s">
        <v>1933</v>
      </c>
      <c r="D1003" s="36" t="s">
        <v>1934</v>
      </c>
      <c r="E1003" s="36">
        <f>4800+24000+18200</f>
        <v>47000</v>
      </c>
      <c r="F1003" s="39">
        <v>47000</v>
      </c>
      <c r="G1003" s="39" t="s">
        <v>2141</v>
      </c>
      <c r="H1003" s="39" t="s">
        <v>56</v>
      </c>
      <c r="I1003" s="39" t="s">
        <v>9</v>
      </c>
      <c r="J1003" s="46" t="s">
        <v>2142</v>
      </c>
      <c r="K1003" s="42"/>
    </row>
    <row r="1004" spans="1:59" s="9" customFormat="1" ht="90" x14ac:dyDescent="0.25">
      <c r="B1004" s="36">
        <v>1025</v>
      </c>
      <c r="C1004" s="36" t="s">
        <v>1935</v>
      </c>
      <c r="D1004" s="36" t="s">
        <v>1936</v>
      </c>
      <c r="E1004" s="36" t="s">
        <v>1129</v>
      </c>
      <c r="F1004" s="39">
        <v>4900</v>
      </c>
      <c r="G1004" s="39" t="s">
        <v>2141</v>
      </c>
      <c r="H1004" s="39" t="s">
        <v>56</v>
      </c>
      <c r="I1004" s="39" t="s">
        <v>24</v>
      </c>
      <c r="J1004" s="51" t="s">
        <v>398</v>
      </c>
      <c r="K1004" s="42" t="s">
        <v>2236</v>
      </c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</row>
    <row r="1005" spans="1:59" s="3" customFormat="1" ht="45" x14ac:dyDescent="0.25">
      <c r="B1005" s="36">
        <v>1026</v>
      </c>
      <c r="C1005" s="36" t="s">
        <v>1937</v>
      </c>
      <c r="D1005" s="36" t="s">
        <v>1156</v>
      </c>
      <c r="E1005" s="36">
        <v>224.66</v>
      </c>
      <c r="F1005" s="39">
        <v>224.66</v>
      </c>
      <c r="G1005" s="39" t="s">
        <v>2141</v>
      </c>
      <c r="H1005" s="39" t="s">
        <v>56</v>
      </c>
      <c r="I1005" s="39" t="s">
        <v>24</v>
      </c>
      <c r="J1005" s="46" t="s">
        <v>3</v>
      </c>
      <c r="K1005" s="42" t="s">
        <v>2237</v>
      </c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</row>
    <row r="1006" spans="1:59" s="9" customFormat="1" ht="45" x14ac:dyDescent="0.25">
      <c r="B1006" s="36">
        <v>1027</v>
      </c>
      <c r="C1006" s="36" t="s">
        <v>277</v>
      </c>
      <c r="D1006" s="36" t="s">
        <v>278</v>
      </c>
      <c r="E1006" s="36">
        <v>423.8</v>
      </c>
      <c r="F1006" s="39">
        <v>423.8</v>
      </c>
      <c r="G1006" s="39" t="s">
        <v>2141</v>
      </c>
      <c r="H1006" s="39" t="s">
        <v>56</v>
      </c>
      <c r="I1006" s="39" t="s">
        <v>24</v>
      </c>
      <c r="J1006" s="46" t="s">
        <v>3</v>
      </c>
      <c r="K1006" s="72" t="s">
        <v>2238</v>
      </c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</row>
    <row r="1007" spans="1:59" s="9" customFormat="1" ht="45" x14ac:dyDescent="0.25">
      <c r="B1007" s="36">
        <v>1028</v>
      </c>
      <c r="C1007" s="36" t="s">
        <v>123</v>
      </c>
      <c r="D1007" s="36" t="s">
        <v>108</v>
      </c>
      <c r="E1007" s="36">
        <f>200+720+1100+60+770</f>
        <v>2850</v>
      </c>
      <c r="F1007" s="39">
        <v>7000</v>
      </c>
      <c r="G1007" s="39" t="s">
        <v>2141</v>
      </c>
      <c r="H1007" s="39" t="s">
        <v>56</v>
      </c>
      <c r="I1007" s="39" t="s">
        <v>24</v>
      </c>
      <c r="J1007" s="46" t="s">
        <v>3</v>
      </c>
      <c r="K1007" s="42" t="s">
        <v>2239</v>
      </c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</row>
    <row r="1008" spans="1:59" ht="45" x14ac:dyDescent="0.25">
      <c r="A1008" s="1"/>
      <c r="B1008" s="36">
        <v>1029</v>
      </c>
      <c r="C1008" s="36" t="s">
        <v>272</v>
      </c>
      <c r="D1008" s="36" t="s">
        <v>110</v>
      </c>
      <c r="E1008" s="36">
        <v>70</v>
      </c>
      <c r="F1008" s="39">
        <v>70</v>
      </c>
      <c r="G1008" s="39" t="s">
        <v>2141</v>
      </c>
      <c r="H1008" s="39" t="s">
        <v>56</v>
      </c>
      <c r="I1008" s="39" t="s">
        <v>24</v>
      </c>
      <c r="J1008" s="46" t="s">
        <v>3</v>
      </c>
      <c r="K1008" s="42" t="s">
        <v>2587</v>
      </c>
    </row>
    <row r="1009" spans="1:59" s="3" customFormat="1" ht="45" x14ac:dyDescent="0.25">
      <c r="B1009" s="36">
        <v>1030</v>
      </c>
      <c r="C1009" s="36" t="s">
        <v>903</v>
      </c>
      <c r="D1009" s="36" t="s">
        <v>110</v>
      </c>
      <c r="E1009" s="36">
        <v>370</v>
      </c>
      <c r="F1009" s="39">
        <v>370</v>
      </c>
      <c r="G1009" s="39" t="s">
        <v>2141</v>
      </c>
      <c r="H1009" s="39" t="s">
        <v>56</v>
      </c>
      <c r="I1009" s="39" t="s">
        <v>24</v>
      </c>
      <c r="J1009" s="46" t="s">
        <v>3</v>
      </c>
      <c r="K1009" s="42" t="s">
        <v>2240</v>
      </c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</row>
    <row r="1010" spans="1:59" s="9" customFormat="1" ht="45" x14ac:dyDescent="0.25">
      <c r="B1010" s="36">
        <v>1031</v>
      </c>
      <c r="C1010" s="36" t="s">
        <v>1938</v>
      </c>
      <c r="D1010" s="36" t="s">
        <v>1156</v>
      </c>
      <c r="E1010" s="36">
        <v>286.19</v>
      </c>
      <c r="F1010" s="39">
        <v>286.19</v>
      </c>
      <c r="G1010" s="39" t="s">
        <v>2141</v>
      </c>
      <c r="H1010" s="39" t="s">
        <v>56</v>
      </c>
      <c r="I1010" s="52" t="s">
        <v>24</v>
      </c>
      <c r="J1010" s="46" t="s">
        <v>3</v>
      </c>
      <c r="K1010" s="42" t="s">
        <v>2241</v>
      </c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</row>
    <row r="1011" spans="1:59" ht="90" x14ac:dyDescent="0.25">
      <c r="A1011" s="1"/>
      <c r="B1011" s="36">
        <v>1032</v>
      </c>
      <c r="C1011" s="36" t="s">
        <v>2447</v>
      </c>
      <c r="D1011" s="36" t="s">
        <v>2448</v>
      </c>
      <c r="E1011" s="36">
        <v>693</v>
      </c>
      <c r="F1011" s="39">
        <v>693</v>
      </c>
      <c r="G1011" s="39" t="s">
        <v>2480</v>
      </c>
      <c r="H1011" s="39" t="s">
        <v>56</v>
      </c>
      <c r="I1011" s="52" t="s">
        <v>24</v>
      </c>
      <c r="J1011" s="51" t="s">
        <v>398</v>
      </c>
      <c r="K1011" s="42" t="s">
        <v>2242</v>
      </c>
    </row>
    <row r="1012" spans="1:59" s="9" customFormat="1" ht="45" x14ac:dyDescent="0.15">
      <c r="B1012" s="36">
        <v>1033</v>
      </c>
      <c r="C1012" s="36" t="s">
        <v>277</v>
      </c>
      <c r="D1012" s="36" t="s">
        <v>278</v>
      </c>
      <c r="E1012" s="36">
        <v>930</v>
      </c>
      <c r="F1012" s="39">
        <v>930</v>
      </c>
      <c r="G1012" s="39" t="s">
        <v>2480</v>
      </c>
      <c r="H1012" s="39" t="s">
        <v>56</v>
      </c>
      <c r="I1012" s="52" t="s">
        <v>24</v>
      </c>
      <c r="J1012" s="46" t="s">
        <v>3</v>
      </c>
      <c r="K1012" s="73" t="s">
        <v>2243</v>
      </c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</row>
    <row r="1013" spans="1:59" s="9" customFormat="1" ht="45" x14ac:dyDescent="0.25">
      <c r="B1013" s="36">
        <v>1034</v>
      </c>
      <c r="C1013" s="36" t="s">
        <v>898</v>
      </c>
      <c r="D1013" s="36" t="s">
        <v>110</v>
      </c>
      <c r="E1013" s="36">
        <v>140</v>
      </c>
      <c r="F1013" s="39">
        <v>140</v>
      </c>
      <c r="G1013" s="39" t="s">
        <v>2481</v>
      </c>
      <c r="H1013" s="39" t="s">
        <v>56</v>
      </c>
      <c r="I1013" s="52" t="s">
        <v>24</v>
      </c>
      <c r="J1013" s="46" t="s">
        <v>3</v>
      </c>
      <c r="K1013" s="42" t="s">
        <v>2244</v>
      </c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</row>
    <row r="1014" spans="1:59" s="9" customFormat="1" ht="45" x14ac:dyDescent="0.25">
      <c r="B1014" s="36">
        <v>1035</v>
      </c>
      <c r="C1014" s="36" t="s">
        <v>470</v>
      </c>
      <c r="D1014" s="36" t="s">
        <v>1156</v>
      </c>
      <c r="E1014" s="36" t="s">
        <v>2574</v>
      </c>
      <c r="F1014" s="39">
        <v>1454.88</v>
      </c>
      <c r="G1014" s="39" t="s">
        <v>2481</v>
      </c>
      <c r="H1014" s="39" t="s">
        <v>56</v>
      </c>
      <c r="I1014" s="52" t="s">
        <v>24</v>
      </c>
      <c r="J1014" s="46" t="s">
        <v>3</v>
      </c>
      <c r="K1014" s="42" t="s">
        <v>2245</v>
      </c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</row>
    <row r="1015" spans="1:59" s="9" customFormat="1" ht="45" x14ac:dyDescent="0.25">
      <c r="B1015" s="36">
        <v>1036</v>
      </c>
      <c r="C1015" s="36" t="s">
        <v>1652</v>
      </c>
      <c r="D1015" s="36" t="s">
        <v>108</v>
      </c>
      <c r="E1015" s="36">
        <v>119.6</v>
      </c>
      <c r="F1015" s="39">
        <v>120</v>
      </c>
      <c r="G1015" s="39" t="s">
        <v>2481</v>
      </c>
      <c r="H1015" s="39" t="s">
        <v>56</v>
      </c>
      <c r="I1015" s="52" t="s">
        <v>24</v>
      </c>
      <c r="J1015" s="46" t="s">
        <v>3</v>
      </c>
      <c r="K1015" s="42" t="s">
        <v>2246</v>
      </c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</row>
    <row r="1016" spans="1:59" s="9" customFormat="1" ht="90" x14ac:dyDescent="0.25">
      <c r="B1016" s="36">
        <v>1037</v>
      </c>
      <c r="C1016" s="36" t="s">
        <v>2447</v>
      </c>
      <c r="D1016" s="36" t="s">
        <v>2448</v>
      </c>
      <c r="E1016" s="36">
        <v>95</v>
      </c>
      <c r="F1016" s="39">
        <v>95</v>
      </c>
      <c r="G1016" s="39" t="s">
        <v>2481</v>
      </c>
      <c r="H1016" s="39" t="s">
        <v>56</v>
      </c>
      <c r="I1016" s="52" t="s">
        <v>24</v>
      </c>
      <c r="J1016" s="51" t="s">
        <v>398</v>
      </c>
      <c r="K1016" s="42" t="s">
        <v>2247</v>
      </c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</row>
    <row r="1017" spans="1:59" s="9" customFormat="1" ht="90" x14ac:dyDescent="0.25">
      <c r="B1017" s="36">
        <v>1038</v>
      </c>
      <c r="C1017" s="36" t="s">
        <v>672</v>
      </c>
      <c r="D1017" s="36" t="s">
        <v>671</v>
      </c>
      <c r="E1017" s="36" t="s">
        <v>2839</v>
      </c>
      <c r="F1017" s="39">
        <v>3000</v>
      </c>
      <c r="G1017" s="39" t="s">
        <v>2482</v>
      </c>
      <c r="H1017" s="39" t="s">
        <v>56</v>
      </c>
      <c r="I1017" s="39" t="s">
        <v>24</v>
      </c>
      <c r="J1017" s="51" t="s">
        <v>398</v>
      </c>
      <c r="K1017" s="42" t="s">
        <v>2248</v>
      </c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</row>
    <row r="1018" spans="1:59" ht="45" x14ac:dyDescent="0.25">
      <c r="A1018" s="1"/>
      <c r="B1018" s="36">
        <v>1039</v>
      </c>
      <c r="C1018" s="36" t="s">
        <v>2449</v>
      </c>
      <c r="D1018" s="36" t="s">
        <v>1156</v>
      </c>
      <c r="E1018" s="36">
        <v>712.8</v>
      </c>
      <c r="F1018" s="39">
        <v>712.8</v>
      </c>
      <c r="G1018" s="39" t="s">
        <v>2482</v>
      </c>
      <c r="H1018" s="39" t="s">
        <v>56</v>
      </c>
      <c r="I1018" s="39" t="s">
        <v>24</v>
      </c>
      <c r="J1018" s="46" t="s">
        <v>3</v>
      </c>
      <c r="K1018" s="42" t="s">
        <v>2249</v>
      </c>
    </row>
    <row r="1019" spans="1:59" ht="45" x14ac:dyDescent="0.25">
      <c r="A1019" s="1"/>
      <c r="B1019" s="36">
        <v>1040</v>
      </c>
      <c r="C1019" s="36" t="s">
        <v>2450</v>
      </c>
      <c r="D1019" s="36" t="s">
        <v>232</v>
      </c>
      <c r="E1019" s="36" t="s">
        <v>2570</v>
      </c>
      <c r="F1019" s="39">
        <v>1574</v>
      </c>
      <c r="G1019" s="39" t="s">
        <v>2482</v>
      </c>
      <c r="H1019" s="39" t="s">
        <v>56</v>
      </c>
      <c r="I1019" s="39" t="s">
        <v>24</v>
      </c>
      <c r="J1019" s="46" t="s">
        <v>3</v>
      </c>
      <c r="K1019" s="42" t="s">
        <v>2250</v>
      </c>
    </row>
    <row r="1020" spans="1:59" s="9" customFormat="1" ht="45" x14ac:dyDescent="0.25">
      <c r="B1020" s="36">
        <v>1041</v>
      </c>
      <c r="C1020" s="36" t="s">
        <v>2451</v>
      </c>
      <c r="D1020" s="36" t="s">
        <v>108</v>
      </c>
      <c r="E1020" s="36">
        <v>249.74</v>
      </c>
      <c r="F1020" s="39">
        <v>250</v>
      </c>
      <c r="G1020" s="39" t="s">
        <v>2482</v>
      </c>
      <c r="H1020" s="39" t="s">
        <v>56</v>
      </c>
      <c r="I1020" s="39" t="s">
        <v>24</v>
      </c>
      <c r="J1020" s="46" t="s">
        <v>3</v>
      </c>
      <c r="K1020" s="42" t="s">
        <v>2251</v>
      </c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</row>
    <row r="1021" spans="1:59" s="9" customFormat="1" ht="45" x14ac:dyDescent="0.25">
      <c r="B1021" s="36">
        <v>1042</v>
      </c>
      <c r="C1021" s="36" t="s">
        <v>272</v>
      </c>
      <c r="D1021" s="36" t="s">
        <v>110</v>
      </c>
      <c r="E1021" s="36" t="s">
        <v>2591</v>
      </c>
      <c r="F1021" s="39">
        <v>1330</v>
      </c>
      <c r="G1021" s="39" t="s">
        <v>2482</v>
      </c>
      <c r="H1021" s="39" t="s">
        <v>56</v>
      </c>
      <c r="I1021" s="39" t="s">
        <v>24</v>
      </c>
      <c r="J1021" s="46" t="s">
        <v>3</v>
      </c>
      <c r="K1021" s="42" t="s">
        <v>2252</v>
      </c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</row>
    <row r="1022" spans="1:59" s="9" customFormat="1" ht="45" x14ac:dyDescent="0.25">
      <c r="B1022" s="36">
        <v>1043</v>
      </c>
      <c r="C1022" s="36" t="s">
        <v>1658</v>
      </c>
      <c r="D1022" s="36" t="s">
        <v>108</v>
      </c>
      <c r="E1022" s="36">
        <v>250</v>
      </c>
      <c r="F1022" s="39">
        <v>250</v>
      </c>
      <c r="G1022" s="39" t="s">
        <v>2482</v>
      </c>
      <c r="H1022" s="39" t="s">
        <v>56</v>
      </c>
      <c r="I1022" s="52" t="s">
        <v>24</v>
      </c>
      <c r="J1022" s="46" t="s">
        <v>3</v>
      </c>
      <c r="K1022" s="42" t="s">
        <v>2253</v>
      </c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</row>
    <row r="1023" spans="1:59" s="9" customFormat="1" ht="45" x14ac:dyDescent="0.25">
      <c r="B1023" s="36">
        <v>1044</v>
      </c>
      <c r="C1023" s="36" t="s">
        <v>1922</v>
      </c>
      <c r="D1023" s="36" t="s">
        <v>108</v>
      </c>
      <c r="E1023" s="36">
        <v>250</v>
      </c>
      <c r="F1023" s="39">
        <v>300</v>
      </c>
      <c r="G1023" s="39" t="s">
        <v>2482</v>
      </c>
      <c r="H1023" s="39" t="s">
        <v>56</v>
      </c>
      <c r="I1023" s="52" t="s">
        <v>24</v>
      </c>
      <c r="J1023" s="46" t="s">
        <v>3</v>
      </c>
      <c r="K1023" s="42" t="s">
        <v>2254</v>
      </c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</row>
    <row r="1024" spans="1:59" s="9" customFormat="1" ht="45" x14ac:dyDescent="0.25">
      <c r="B1024" s="36">
        <v>1045</v>
      </c>
      <c r="C1024" s="36" t="s">
        <v>1922</v>
      </c>
      <c r="D1024" s="36" t="s">
        <v>1156</v>
      </c>
      <c r="E1024" s="36">
        <v>600</v>
      </c>
      <c r="F1024" s="39">
        <v>600</v>
      </c>
      <c r="G1024" s="39" t="s">
        <v>2482</v>
      </c>
      <c r="H1024" s="39" t="s">
        <v>56</v>
      </c>
      <c r="I1024" s="52" t="s">
        <v>24</v>
      </c>
      <c r="J1024" s="46" t="s">
        <v>3</v>
      </c>
      <c r="K1024" s="42" t="s">
        <v>2255</v>
      </c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</row>
    <row r="1025" spans="1:59" s="9" customFormat="1" ht="45" x14ac:dyDescent="0.25">
      <c r="B1025" s="36">
        <v>1046</v>
      </c>
      <c r="C1025" s="36" t="s">
        <v>2452</v>
      </c>
      <c r="D1025" s="36" t="s">
        <v>108</v>
      </c>
      <c r="E1025" s="36">
        <v>274</v>
      </c>
      <c r="F1025" s="39">
        <v>300</v>
      </c>
      <c r="G1025" s="39" t="s">
        <v>2482</v>
      </c>
      <c r="H1025" s="39" t="s">
        <v>56</v>
      </c>
      <c r="I1025" s="52" t="s">
        <v>24</v>
      </c>
      <c r="J1025" s="46" t="s">
        <v>3</v>
      </c>
      <c r="K1025" s="42" t="s">
        <v>2256</v>
      </c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</row>
    <row r="1026" spans="1:59" ht="45" x14ac:dyDescent="0.25">
      <c r="A1026" s="1"/>
      <c r="B1026" s="36">
        <v>1047</v>
      </c>
      <c r="C1026" s="36" t="s">
        <v>2453</v>
      </c>
      <c r="D1026" s="36" t="s">
        <v>108</v>
      </c>
      <c r="E1026" s="36">
        <v>284</v>
      </c>
      <c r="F1026" s="39">
        <v>300</v>
      </c>
      <c r="G1026" s="39" t="s">
        <v>2482</v>
      </c>
      <c r="H1026" s="39" t="s">
        <v>56</v>
      </c>
      <c r="I1026" s="52" t="s">
        <v>24</v>
      </c>
      <c r="J1026" s="46" t="s">
        <v>3</v>
      </c>
      <c r="K1026" s="42" t="s">
        <v>2257</v>
      </c>
    </row>
    <row r="1027" spans="1:59" ht="45" x14ac:dyDescent="0.25">
      <c r="A1027" s="1"/>
      <c r="B1027" s="36" t="s">
        <v>2454</v>
      </c>
      <c r="C1027" s="36" t="s">
        <v>2453</v>
      </c>
      <c r="D1027" s="36" t="s">
        <v>1156</v>
      </c>
      <c r="E1027" s="36" t="s">
        <v>732</v>
      </c>
      <c r="F1027" s="39">
        <v>1250</v>
      </c>
      <c r="G1027" s="39" t="s">
        <v>2482</v>
      </c>
      <c r="H1027" s="39" t="s">
        <v>56</v>
      </c>
      <c r="I1027" s="52" t="s">
        <v>24</v>
      </c>
      <c r="J1027" s="46" t="s">
        <v>3</v>
      </c>
      <c r="K1027" s="42" t="s">
        <v>2258</v>
      </c>
    </row>
    <row r="1028" spans="1:59" s="9" customFormat="1" ht="45" x14ac:dyDescent="0.25">
      <c r="B1028" s="36">
        <v>1048</v>
      </c>
      <c r="C1028" s="36" t="s">
        <v>277</v>
      </c>
      <c r="D1028" s="36" t="s">
        <v>278</v>
      </c>
      <c r="E1028" s="36" t="s">
        <v>2562</v>
      </c>
      <c r="F1028" s="39">
        <v>1250.0999999999999</v>
      </c>
      <c r="G1028" s="39" t="s">
        <v>2483</v>
      </c>
      <c r="H1028" s="39" t="s">
        <v>56</v>
      </c>
      <c r="I1028" s="52" t="s">
        <v>24</v>
      </c>
      <c r="J1028" s="46" t="s">
        <v>3</v>
      </c>
      <c r="K1028" s="42" t="s">
        <v>2259</v>
      </c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</row>
    <row r="1029" spans="1:59" s="9" customFormat="1" ht="45" x14ac:dyDescent="0.25">
      <c r="B1029" s="36">
        <v>1049</v>
      </c>
      <c r="C1029" s="36" t="s">
        <v>277</v>
      </c>
      <c r="D1029" s="36" t="s">
        <v>278</v>
      </c>
      <c r="E1029" s="36" t="s">
        <v>2561</v>
      </c>
      <c r="F1029" s="39">
        <v>2886.2</v>
      </c>
      <c r="G1029" s="39" t="s">
        <v>2483</v>
      </c>
      <c r="H1029" s="39" t="s">
        <v>56</v>
      </c>
      <c r="I1029" s="52" t="s">
        <v>24</v>
      </c>
      <c r="J1029" s="46" t="s">
        <v>3</v>
      </c>
      <c r="K1029" s="42" t="s">
        <v>2260</v>
      </c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</row>
    <row r="1030" spans="1:59" s="9" customFormat="1" ht="45" x14ac:dyDescent="0.25">
      <c r="B1030" s="36">
        <v>1050</v>
      </c>
      <c r="C1030" s="36" t="s">
        <v>666</v>
      </c>
      <c r="D1030" s="36" t="s">
        <v>1156</v>
      </c>
      <c r="E1030" s="36">
        <v>440</v>
      </c>
      <c r="F1030" s="39">
        <v>440</v>
      </c>
      <c r="G1030" s="39" t="s">
        <v>2483</v>
      </c>
      <c r="H1030" s="39" t="s">
        <v>56</v>
      </c>
      <c r="I1030" s="52" t="s">
        <v>24</v>
      </c>
      <c r="J1030" s="46" t="s">
        <v>3</v>
      </c>
      <c r="K1030" s="42" t="s">
        <v>2261</v>
      </c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</row>
    <row r="1031" spans="1:59" ht="45" x14ac:dyDescent="0.25">
      <c r="A1031" s="1"/>
      <c r="B1031" s="36">
        <v>1051</v>
      </c>
      <c r="C1031" s="36" t="s">
        <v>2455</v>
      </c>
      <c r="D1031" s="36" t="s">
        <v>232</v>
      </c>
      <c r="E1031" s="36" t="s">
        <v>2583</v>
      </c>
      <c r="F1031" s="39">
        <v>1360</v>
      </c>
      <c r="G1031" s="39" t="s">
        <v>2483</v>
      </c>
      <c r="H1031" s="39" t="s">
        <v>56</v>
      </c>
      <c r="I1031" s="52" t="s">
        <v>24</v>
      </c>
      <c r="J1031" s="46" t="s">
        <v>3</v>
      </c>
      <c r="K1031" s="42" t="s">
        <v>2262</v>
      </c>
    </row>
    <row r="1032" spans="1:59" s="9" customFormat="1" ht="45" x14ac:dyDescent="0.25">
      <c r="B1032" s="36">
        <v>1052</v>
      </c>
      <c r="C1032" s="36" t="s">
        <v>2455</v>
      </c>
      <c r="D1032" s="36" t="s">
        <v>110</v>
      </c>
      <c r="E1032" s="36" t="s">
        <v>1542</v>
      </c>
      <c r="F1032" s="39">
        <v>1140</v>
      </c>
      <c r="G1032" s="39" t="s">
        <v>2483</v>
      </c>
      <c r="H1032" s="39" t="s">
        <v>56</v>
      </c>
      <c r="I1032" s="52" t="s">
        <v>24</v>
      </c>
      <c r="J1032" s="46" t="s">
        <v>3</v>
      </c>
      <c r="K1032" s="42" t="s">
        <v>2263</v>
      </c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</row>
    <row r="1033" spans="1:59" s="9" customFormat="1" ht="45" x14ac:dyDescent="0.25">
      <c r="B1033" s="36">
        <v>1053</v>
      </c>
      <c r="C1033" s="36" t="s">
        <v>2456</v>
      </c>
      <c r="D1033" s="36" t="s">
        <v>1156</v>
      </c>
      <c r="E1033" s="36">
        <v>549</v>
      </c>
      <c r="F1033" s="39">
        <v>549</v>
      </c>
      <c r="G1033" s="39" t="s">
        <v>2483</v>
      </c>
      <c r="H1033" s="39" t="s">
        <v>56</v>
      </c>
      <c r="I1033" s="52" t="s">
        <v>24</v>
      </c>
      <c r="J1033" s="46" t="s">
        <v>3</v>
      </c>
      <c r="K1033" s="42" t="s">
        <v>2264</v>
      </c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</row>
    <row r="1034" spans="1:59" s="9" customFormat="1" ht="45" x14ac:dyDescent="0.25">
      <c r="B1034" s="36">
        <v>1054</v>
      </c>
      <c r="C1034" s="36" t="s">
        <v>470</v>
      </c>
      <c r="D1034" s="36" t="s">
        <v>1156</v>
      </c>
      <c r="E1034" s="36" t="s">
        <v>2600</v>
      </c>
      <c r="F1034" s="39">
        <v>1468.44</v>
      </c>
      <c r="G1034" s="39" t="s">
        <v>2483</v>
      </c>
      <c r="H1034" s="39" t="s">
        <v>56</v>
      </c>
      <c r="I1034" s="52" t="s">
        <v>24</v>
      </c>
      <c r="J1034" s="46" t="s">
        <v>3</v>
      </c>
      <c r="K1034" s="42" t="s">
        <v>2265</v>
      </c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</row>
    <row r="1035" spans="1:59" ht="45" x14ac:dyDescent="0.25">
      <c r="A1035" s="1"/>
      <c r="B1035" s="36">
        <v>1055</v>
      </c>
      <c r="C1035" s="36" t="s">
        <v>2457</v>
      </c>
      <c r="D1035" s="36" t="s">
        <v>1156</v>
      </c>
      <c r="E1035" s="36">
        <v>740.1</v>
      </c>
      <c r="F1035" s="39">
        <v>740</v>
      </c>
      <c r="G1035" s="39" t="s">
        <v>2483</v>
      </c>
      <c r="H1035" s="39" t="s">
        <v>56</v>
      </c>
      <c r="I1035" s="52" t="s">
        <v>24</v>
      </c>
      <c r="J1035" s="46" t="s">
        <v>3</v>
      </c>
      <c r="K1035" s="42" t="s">
        <v>2266</v>
      </c>
    </row>
    <row r="1036" spans="1:59" s="9" customFormat="1" ht="45" x14ac:dyDescent="0.25">
      <c r="B1036" s="36">
        <v>1056</v>
      </c>
      <c r="C1036" s="36" t="s">
        <v>1620</v>
      </c>
      <c r="D1036" s="36" t="s">
        <v>108</v>
      </c>
      <c r="E1036" s="36">
        <f>110.35+48.65+58.95 +48.65</f>
        <v>266.59999999999997</v>
      </c>
      <c r="F1036" s="39">
        <v>3000</v>
      </c>
      <c r="G1036" s="39" t="s">
        <v>2483</v>
      </c>
      <c r="H1036" s="39" t="s">
        <v>56</v>
      </c>
      <c r="I1036" s="52" t="s">
        <v>24</v>
      </c>
      <c r="J1036" s="46" t="s">
        <v>3</v>
      </c>
      <c r="K1036" s="42" t="s">
        <v>2267</v>
      </c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</row>
    <row r="1037" spans="1:59" ht="45" x14ac:dyDescent="0.25">
      <c r="A1037" s="1"/>
      <c r="B1037" s="36">
        <v>1057</v>
      </c>
      <c r="C1037" s="36" t="s">
        <v>1652</v>
      </c>
      <c r="D1037" s="36" t="s">
        <v>108</v>
      </c>
      <c r="E1037" s="36">
        <v>437.29</v>
      </c>
      <c r="F1037" s="39">
        <v>500</v>
      </c>
      <c r="G1037" s="39" t="s">
        <v>2483</v>
      </c>
      <c r="H1037" s="39" t="s">
        <v>56</v>
      </c>
      <c r="I1037" s="52" t="s">
        <v>24</v>
      </c>
      <c r="J1037" s="46" t="s">
        <v>3</v>
      </c>
      <c r="K1037" s="42" t="s">
        <v>2268</v>
      </c>
    </row>
    <row r="1038" spans="1:59" ht="45" x14ac:dyDescent="0.25">
      <c r="A1038" s="1"/>
      <c r="B1038" s="36">
        <v>1058</v>
      </c>
      <c r="C1038" s="36" t="s">
        <v>2458</v>
      </c>
      <c r="D1038" s="36" t="s">
        <v>108</v>
      </c>
      <c r="E1038" s="36">
        <v>347</v>
      </c>
      <c r="F1038" s="39">
        <v>500</v>
      </c>
      <c r="G1038" s="39" t="s">
        <v>2483</v>
      </c>
      <c r="H1038" s="39" t="s">
        <v>56</v>
      </c>
      <c r="I1038" s="52" t="s">
        <v>24</v>
      </c>
      <c r="J1038" s="46" t="s">
        <v>3</v>
      </c>
      <c r="K1038" s="42" t="s">
        <v>2269</v>
      </c>
    </row>
    <row r="1039" spans="1:59" s="9" customFormat="1" ht="45" x14ac:dyDescent="0.25">
      <c r="B1039" s="36">
        <v>1059</v>
      </c>
      <c r="C1039" s="36" t="s">
        <v>2380</v>
      </c>
      <c r="D1039" s="36" t="s">
        <v>108</v>
      </c>
      <c r="E1039" s="36" t="s">
        <v>2581</v>
      </c>
      <c r="F1039" s="39">
        <v>1200</v>
      </c>
      <c r="G1039" s="39" t="s">
        <v>2483</v>
      </c>
      <c r="H1039" s="39" t="s">
        <v>56</v>
      </c>
      <c r="I1039" s="52" t="s">
        <v>24</v>
      </c>
      <c r="J1039" s="46" t="s">
        <v>3</v>
      </c>
      <c r="K1039" s="42" t="s">
        <v>2270</v>
      </c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</row>
    <row r="1040" spans="1:59" ht="45" x14ac:dyDescent="0.25">
      <c r="A1040" s="1"/>
      <c r="B1040" s="36">
        <v>1060</v>
      </c>
      <c r="C1040" s="36" t="s">
        <v>744</v>
      </c>
      <c r="D1040" s="36" t="s">
        <v>108</v>
      </c>
      <c r="E1040" s="36">
        <v>500</v>
      </c>
      <c r="F1040" s="39">
        <v>500</v>
      </c>
      <c r="G1040" s="39" t="s">
        <v>2483</v>
      </c>
      <c r="H1040" s="39" t="s">
        <v>56</v>
      </c>
      <c r="I1040" s="52" t="s">
        <v>24</v>
      </c>
      <c r="J1040" s="46" t="s">
        <v>3</v>
      </c>
      <c r="K1040" s="42" t="s">
        <v>2271</v>
      </c>
    </row>
    <row r="1041" spans="1:59" ht="45" x14ac:dyDescent="0.25">
      <c r="A1041" s="1"/>
      <c r="B1041" s="36">
        <v>1061</v>
      </c>
      <c r="C1041" s="36" t="s">
        <v>272</v>
      </c>
      <c r="D1041" s="36" t="s">
        <v>110</v>
      </c>
      <c r="E1041" s="36" t="s">
        <v>2592</v>
      </c>
      <c r="F1041" s="39">
        <v>2010</v>
      </c>
      <c r="G1041" s="39" t="s">
        <v>2483</v>
      </c>
      <c r="H1041" s="39" t="s">
        <v>56</v>
      </c>
      <c r="I1041" s="52" t="s">
        <v>24</v>
      </c>
      <c r="J1041" s="46" t="s">
        <v>3</v>
      </c>
      <c r="K1041" s="42" t="s">
        <v>2272</v>
      </c>
    </row>
    <row r="1042" spans="1:59" s="9" customFormat="1" ht="45" x14ac:dyDescent="0.25">
      <c r="B1042" s="36">
        <v>1062</v>
      </c>
      <c r="C1042" s="36" t="s">
        <v>264</v>
      </c>
      <c r="D1042" s="36" t="s">
        <v>232</v>
      </c>
      <c r="E1042" s="36" t="s">
        <v>2582</v>
      </c>
      <c r="F1042" s="39">
        <v>1050</v>
      </c>
      <c r="G1042" s="39" t="s">
        <v>2483</v>
      </c>
      <c r="H1042" s="39" t="s">
        <v>56</v>
      </c>
      <c r="I1042" s="52" t="s">
        <v>24</v>
      </c>
      <c r="J1042" s="46" t="s">
        <v>3</v>
      </c>
      <c r="K1042" s="42" t="s">
        <v>2273</v>
      </c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</row>
    <row r="1043" spans="1:59" ht="45" x14ac:dyDescent="0.25">
      <c r="A1043" s="1"/>
      <c r="B1043" s="36">
        <v>1063</v>
      </c>
      <c r="C1043" s="36" t="s">
        <v>265</v>
      </c>
      <c r="D1043" s="36" t="s">
        <v>110</v>
      </c>
      <c r="E1043" s="36" t="s">
        <v>2590</v>
      </c>
      <c r="F1043" s="39">
        <v>5170</v>
      </c>
      <c r="G1043" s="39" t="s">
        <v>2484</v>
      </c>
      <c r="H1043" s="39" t="s">
        <v>56</v>
      </c>
      <c r="I1043" s="52" t="s">
        <v>24</v>
      </c>
      <c r="J1043" s="46" t="s">
        <v>3</v>
      </c>
      <c r="K1043" s="42" t="s">
        <v>2485</v>
      </c>
    </row>
    <row r="1044" spans="1:59" s="9" customFormat="1" ht="45" x14ac:dyDescent="0.25">
      <c r="B1044" s="36">
        <v>1064</v>
      </c>
      <c r="C1044" s="36" t="s">
        <v>2459</v>
      </c>
      <c r="D1044" s="36" t="s">
        <v>232</v>
      </c>
      <c r="E1044" s="36" t="s">
        <v>2589</v>
      </c>
      <c r="F1044" s="39" t="s">
        <v>2589</v>
      </c>
      <c r="G1044" s="39" t="s">
        <v>2484</v>
      </c>
      <c r="H1044" s="39" t="s">
        <v>56</v>
      </c>
      <c r="I1044" s="52" t="s">
        <v>24</v>
      </c>
      <c r="J1044" s="46" t="s">
        <v>3</v>
      </c>
      <c r="K1044" s="42" t="s">
        <v>2486</v>
      </c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</row>
    <row r="1045" spans="1:59" s="9" customFormat="1" ht="45" x14ac:dyDescent="0.25">
      <c r="B1045" s="36">
        <v>1065</v>
      </c>
      <c r="C1045" s="36" t="s">
        <v>2460</v>
      </c>
      <c r="D1045" s="36" t="s">
        <v>1156</v>
      </c>
      <c r="E1045" s="36">
        <v>900</v>
      </c>
      <c r="F1045" s="39">
        <v>900</v>
      </c>
      <c r="G1045" s="39" t="s">
        <v>2487</v>
      </c>
      <c r="H1045" s="39" t="s">
        <v>56</v>
      </c>
      <c r="I1045" s="52" t="s">
        <v>24</v>
      </c>
      <c r="J1045" s="46" t="s">
        <v>3</v>
      </c>
      <c r="K1045" s="42" t="s">
        <v>2488</v>
      </c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</row>
    <row r="1046" spans="1:59" ht="45" x14ac:dyDescent="0.25">
      <c r="A1046" s="1"/>
      <c r="B1046" s="36">
        <v>1066</v>
      </c>
      <c r="C1046" s="36" t="s">
        <v>109</v>
      </c>
      <c r="D1046" s="36" t="s">
        <v>110</v>
      </c>
      <c r="E1046" s="36">
        <v>700</v>
      </c>
      <c r="F1046" s="39">
        <v>700</v>
      </c>
      <c r="G1046" s="39" t="s">
        <v>2487</v>
      </c>
      <c r="H1046" s="39" t="s">
        <v>56</v>
      </c>
      <c r="I1046" s="52" t="s">
        <v>24</v>
      </c>
      <c r="J1046" s="46" t="s">
        <v>3</v>
      </c>
      <c r="K1046" s="42" t="s">
        <v>2274</v>
      </c>
    </row>
    <row r="1047" spans="1:59" ht="45" x14ac:dyDescent="0.25">
      <c r="A1047" s="1"/>
      <c r="B1047" s="36">
        <v>1067</v>
      </c>
      <c r="C1047" s="36" t="s">
        <v>2461</v>
      </c>
      <c r="D1047" s="36" t="s">
        <v>1156</v>
      </c>
      <c r="E1047" s="36">
        <v>240</v>
      </c>
      <c r="F1047" s="39">
        <v>240</v>
      </c>
      <c r="G1047" s="39" t="s">
        <v>2487</v>
      </c>
      <c r="H1047" s="39" t="s">
        <v>56</v>
      </c>
      <c r="I1047" s="52" t="s">
        <v>24</v>
      </c>
      <c r="J1047" s="46" t="s">
        <v>3</v>
      </c>
      <c r="K1047" s="42" t="s">
        <v>2489</v>
      </c>
    </row>
    <row r="1048" spans="1:59" ht="45" x14ac:dyDescent="0.25">
      <c r="A1048" s="1"/>
      <c r="B1048" s="36">
        <v>1068</v>
      </c>
      <c r="C1048" s="36" t="s">
        <v>2462</v>
      </c>
      <c r="D1048" s="36" t="s">
        <v>1156</v>
      </c>
      <c r="E1048" s="36">
        <v>80</v>
      </c>
      <c r="F1048" s="39">
        <v>80</v>
      </c>
      <c r="G1048" s="39" t="s">
        <v>2487</v>
      </c>
      <c r="H1048" s="39" t="s">
        <v>56</v>
      </c>
      <c r="I1048" s="52" t="s">
        <v>24</v>
      </c>
      <c r="J1048" s="46" t="s">
        <v>3</v>
      </c>
      <c r="K1048" s="36" t="s">
        <v>2490</v>
      </c>
    </row>
    <row r="1049" spans="1:59" ht="45" x14ac:dyDescent="0.25">
      <c r="A1049" s="1"/>
      <c r="B1049" s="36">
        <v>1069</v>
      </c>
      <c r="C1049" s="36" t="s">
        <v>470</v>
      </c>
      <c r="D1049" s="36" t="s">
        <v>1888</v>
      </c>
      <c r="E1049" s="36">
        <v>425</v>
      </c>
      <c r="F1049" s="39">
        <v>425</v>
      </c>
      <c r="G1049" s="39" t="s">
        <v>2487</v>
      </c>
      <c r="H1049" s="39" t="s">
        <v>56</v>
      </c>
      <c r="I1049" s="52" t="s">
        <v>24</v>
      </c>
      <c r="J1049" s="46" t="s">
        <v>3</v>
      </c>
      <c r="K1049" s="36" t="s">
        <v>2275</v>
      </c>
    </row>
    <row r="1050" spans="1:59" ht="45" x14ac:dyDescent="0.25">
      <c r="A1050" s="1"/>
      <c r="B1050" s="36">
        <v>1070</v>
      </c>
      <c r="C1050" s="36" t="s">
        <v>1903</v>
      </c>
      <c r="D1050" s="36" t="s">
        <v>278</v>
      </c>
      <c r="E1050" s="36" t="s">
        <v>2585</v>
      </c>
      <c r="F1050" s="39">
        <v>5758</v>
      </c>
      <c r="G1050" s="39" t="s">
        <v>2487</v>
      </c>
      <c r="H1050" s="39" t="s">
        <v>56</v>
      </c>
      <c r="I1050" s="52" t="s">
        <v>24</v>
      </c>
      <c r="J1050" s="46" t="s">
        <v>3</v>
      </c>
      <c r="K1050" s="36" t="s">
        <v>2276</v>
      </c>
    </row>
    <row r="1051" spans="1:59" ht="45" x14ac:dyDescent="0.25">
      <c r="A1051" s="1"/>
      <c r="B1051" s="36">
        <v>1071</v>
      </c>
      <c r="C1051" s="36" t="s">
        <v>2463</v>
      </c>
      <c r="D1051" s="36" t="s">
        <v>278</v>
      </c>
      <c r="E1051" s="36" t="s">
        <v>2576</v>
      </c>
      <c r="F1051" s="39">
        <v>7807.3</v>
      </c>
      <c r="G1051" s="39" t="s">
        <v>2487</v>
      </c>
      <c r="H1051" s="39" t="s">
        <v>56</v>
      </c>
      <c r="I1051" s="52" t="s">
        <v>24</v>
      </c>
      <c r="J1051" s="46" t="s">
        <v>3</v>
      </c>
      <c r="K1051" s="36" t="s">
        <v>2277</v>
      </c>
    </row>
    <row r="1052" spans="1:59" ht="45" x14ac:dyDescent="0.25">
      <c r="A1052" s="1"/>
      <c r="B1052" s="36">
        <v>1072</v>
      </c>
      <c r="C1052" s="36" t="s">
        <v>277</v>
      </c>
      <c r="D1052" s="36" t="s">
        <v>278</v>
      </c>
      <c r="E1052" s="36" t="s">
        <v>2577</v>
      </c>
      <c r="F1052" s="39">
        <v>1870.2</v>
      </c>
      <c r="G1052" s="39" t="s">
        <v>2487</v>
      </c>
      <c r="H1052" s="39" t="s">
        <v>56</v>
      </c>
      <c r="I1052" s="52" t="s">
        <v>24</v>
      </c>
      <c r="J1052" s="46" t="s">
        <v>3</v>
      </c>
      <c r="K1052" s="36" t="s">
        <v>2278</v>
      </c>
    </row>
    <row r="1053" spans="1:59" ht="45" x14ac:dyDescent="0.25">
      <c r="A1053" s="1"/>
      <c r="B1053" s="36">
        <v>1073</v>
      </c>
      <c r="C1053" s="36" t="s">
        <v>277</v>
      </c>
      <c r="D1053" s="36" t="s">
        <v>278</v>
      </c>
      <c r="E1053" s="36" t="s">
        <v>2578</v>
      </c>
      <c r="F1053" s="39">
        <v>1273.9000000000001</v>
      </c>
      <c r="G1053" s="39" t="s">
        <v>2491</v>
      </c>
      <c r="H1053" s="39" t="s">
        <v>56</v>
      </c>
      <c r="I1053" s="52" t="s">
        <v>24</v>
      </c>
      <c r="J1053" s="46" t="s">
        <v>3</v>
      </c>
      <c r="K1053" s="36" t="s">
        <v>2279</v>
      </c>
    </row>
    <row r="1054" spans="1:59" ht="45" x14ac:dyDescent="0.25">
      <c r="A1054" s="1"/>
      <c r="B1054" s="36">
        <v>1074</v>
      </c>
      <c r="C1054" s="36" t="s">
        <v>1343</v>
      </c>
      <c r="D1054" s="36" t="s">
        <v>110</v>
      </c>
      <c r="E1054" s="36" t="s">
        <v>1885</v>
      </c>
      <c r="F1054" s="39">
        <v>2212.5</v>
      </c>
      <c r="G1054" s="39" t="s">
        <v>2491</v>
      </c>
      <c r="H1054" s="39" t="s">
        <v>56</v>
      </c>
      <c r="I1054" s="52" t="s">
        <v>24</v>
      </c>
      <c r="J1054" s="46" t="s">
        <v>3</v>
      </c>
      <c r="K1054" s="36" t="s">
        <v>2492</v>
      </c>
    </row>
    <row r="1055" spans="1:59" ht="45" x14ac:dyDescent="0.25">
      <c r="A1055" s="1"/>
      <c r="B1055" s="36">
        <v>1075</v>
      </c>
      <c r="C1055" s="36" t="s">
        <v>1343</v>
      </c>
      <c r="D1055" s="36" t="s">
        <v>232</v>
      </c>
      <c r="E1055" s="36" t="s">
        <v>605</v>
      </c>
      <c r="F1055" s="39">
        <v>1750</v>
      </c>
      <c r="G1055" s="39" t="s">
        <v>2491</v>
      </c>
      <c r="H1055" s="39" t="s">
        <v>56</v>
      </c>
      <c r="I1055" s="52" t="s">
        <v>24</v>
      </c>
      <c r="J1055" s="46" t="s">
        <v>3</v>
      </c>
      <c r="K1055" s="36" t="s">
        <v>2493</v>
      </c>
    </row>
    <row r="1056" spans="1:59" ht="45" x14ac:dyDescent="0.25">
      <c r="A1056" s="1"/>
      <c r="B1056" s="36">
        <v>1076</v>
      </c>
      <c r="C1056" s="36" t="s">
        <v>1652</v>
      </c>
      <c r="D1056" s="36" t="s">
        <v>108</v>
      </c>
      <c r="E1056" s="36">
        <v>139.72</v>
      </c>
      <c r="F1056" s="39">
        <v>180</v>
      </c>
      <c r="G1056" s="39" t="s">
        <v>2491</v>
      </c>
      <c r="H1056" s="39" t="s">
        <v>56</v>
      </c>
      <c r="I1056" s="52" t="s">
        <v>24</v>
      </c>
      <c r="J1056" s="46" t="s">
        <v>3</v>
      </c>
      <c r="K1056" s="36" t="s">
        <v>2494</v>
      </c>
    </row>
    <row r="1057" spans="1:11" ht="45" x14ac:dyDescent="0.25">
      <c r="A1057" s="1"/>
      <c r="B1057" s="36">
        <v>1077</v>
      </c>
      <c r="C1057" s="36" t="s">
        <v>235</v>
      </c>
      <c r="D1057" s="36" t="s">
        <v>108</v>
      </c>
      <c r="E1057" s="36">
        <v>150</v>
      </c>
      <c r="F1057" s="39">
        <v>150</v>
      </c>
      <c r="G1057" s="39" t="s">
        <v>2491</v>
      </c>
      <c r="H1057" s="39" t="s">
        <v>56</v>
      </c>
      <c r="I1057" s="52" t="s">
        <v>24</v>
      </c>
      <c r="J1057" s="46" t="s">
        <v>3</v>
      </c>
      <c r="K1057" s="36" t="s">
        <v>2495</v>
      </c>
    </row>
    <row r="1058" spans="1:11" ht="45" x14ac:dyDescent="0.25">
      <c r="A1058" s="1"/>
      <c r="B1058" s="36">
        <v>1078</v>
      </c>
      <c r="C1058" s="36" t="s">
        <v>1613</v>
      </c>
      <c r="D1058" s="36" t="s">
        <v>1156</v>
      </c>
      <c r="E1058" s="36">
        <v>120</v>
      </c>
      <c r="F1058" s="39">
        <v>120</v>
      </c>
      <c r="G1058" s="39" t="s">
        <v>2491</v>
      </c>
      <c r="H1058" s="39" t="s">
        <v>56</v>
      </c>
      <c r="I1058" s="52" t="s">
        <v>24</v>
      </c>
      <c r="J1058" s="46" t="s">
        <v>3</v>
      </c>
      <c r="K1058" s="36" t="s">
        <v>2496</v>
      </c>
    </row>
    <row r="1059" spans="1:11" ht="90" x14ac:dyDescent="0.25">
      <c r="A1059" s="1"/>
      <c r="B1059" s="36">
        <v>1079</v>
      </c>
      <c r="C1059" s="36" t="s">
        <v>2464</v>
      </c>
      <c r="D1059" s="36" t="s">
        <v>2465</v>
      </c>
      <c r="E1059" s="36" t="s">
        <v>2817</v>
      </c>
      <c r="F1059" s="39">
        <v>21988.19</v>
      </c>
      <c r="G1059" s="39" t="s">
        <v>2491</v>
      </c>
      <c r="H1059" s="39" t="s">
        <v>56</v>
      </c>
      <c r="I1059" s="52" t="s">
        <v>24</v>
      </c>
      <c r="J1059" s="51" t="s">
        <v>398</v>
      </c>
      <c r="K1059" s="36" t="s">
        <v>2280</v>
      </c>
    </row>
    <row r="1060" spans="1:11" ht="45" x14ac:dyDescent="0.25">
      <c r="A1060" s="1"/>
      <c r="B1060" s="36">
        <v>1080</v>
      </c>
      <c r="C1060" s="36" t="s">
        <v>277</v>
      </c>
      <c r="D1060" s="36" t="s">
        <v>278</v>
      </c>
      <c r="E1060" s="36" t="s">
        <v>2579</v>
      </c>
      <c r="F1060" s="39">
        <v>3173.9</v>
      </c>
      <c r="G1060" s="39" t="s">
        <v>2491</v>
      </c>
      <c r="H1060" s="39" t="s">
        <v>56</v>
      </c>
      <c r="I1060" s="52" t="s">
        <v>24</v>
      </c>
      <c r="J1060" s="46" t="s">
        <v>3</v>
      </c>
      <c r="K1060" s="36" t="s">
        <v>2281</v>
      </c>
    </row>
    <row r="1061" spans="1:11" ht="45" x14ac:dyDescent="0.25">
      <c r="A1061" s="1"/>
      <c r="B1061" s="36">
        <v>1081</v>
      </c>
      <c r="C1061" s="36" t="s">
        <v>2466</v>
      </c>
      <c r="D1061" s="36" t="s">
        <v>1156</v>
      </c>
      <c r="E1061" s="36" t="s">
        <v>2612</v>
      </c>
      <c r="F1061" s="39">
        <v>17030</v>
      </c>
      <c r="G1061" s="39" t="s">
        <v>2491</v>
      </c>
      <c r="H1061" s="39" t="s">
        <v>56</v>
      </c>
      <c r="I1061" s="52" t="s">
        <v>24</v>
      </c>
      <c r="J1061" s="46" t="s">
        <v>3</v>
      </c>
      <c r="K1061" s="36" t="s">
        <v>2497</v>
      </c>
    </row>
    <row r="1062" spans="1:11" ht="45" x14ac:dyDescent="0.25">
      <c r="A1062" s="1"/>
      <c r="B1062" s="36">
        <v>1082</v>
      </c>
      <c r="C1062" s="36" t="s">
        <v>272</v>
      </c>
      <c r="D1062" s="36" t="s">
        <v>110</v>
      </c>
      <c r="E1062" s="36" t="s">
        <v>2588</v>
      </c>
      <c r="F1062" s="39">
        <v>2700</v>
      </c>
      <c r="G1062" s="39" t="s">
        <v>2498</v>
      </c>
      <c r="H1062" s="39" t="s">
        <v>56</v>
      </c>
      <c r="I1062" s="52" t="s">
        <v>24</v>
      </c>
      <c r="J1062" s="46" t="s">
        <v>3</v>
      </c>
      <c r="K1062" s="36" t="s">
        <v>2499</v>
      </c>
    </row>
    <row r="1063" spans="1:11" ht="45" x14ac:dyDescent="0.25">
      <c r="A1063" s="1"/>
      <c r="B1063" s="36">
        <v>1083</v>
      </c>
      <c r="C1063" s="36" t="s">
        <v>2467</v>
      </c>
      <c r="D1063" s="36" t="s">
        <v>1156</v>
      </c>
      <c r="E1063" s="36">
        <v>600</v>
      </c>
      <c r="F1063" s="39">
        <v>600</v>
      </c>
      <c r="G1063" s="39" t="s">
        <v>2498</v>
      </c>
      <c r="H1063" s="39" t="s">
        <v>56</v>
      </c>
      <c r="I1063" s="52" t="s">
        <v>24</v>
      </c>
      <c r="J1063" s="46" t="s">
        <v>3</v>
      </c>
      <c r="K1063" s="36" t="s">
        <v>2282</v>
      </c>
    </row>
    <row r="1064" spans="1:11" ht="45" x14ac:dyDescent="0.25">
      <c r="A1064" s="1"/>
      <c r="B1064" s="36">
        <v>1084</v>
      </c>
      <c r="C1064" s="36" t="s">
        <v>2468</v>
      </c>
      <c r="D1064" s="36" t="s">
        <v>1156</v>
      </c>
      <c r="E1064" s="36" t="s">
        <v>2602</v>
      </c>
      <c r="F1064" s="39">
        <v>1592</v>
      </c>
      <c r="G1064" s="39" t="s">
        <v>2498</v>
      </c>
      <c r="H1064" s="39" t="s">
        <v>56</v>
      </c>
      <c r="I1064" s="52" t="s">
        <v>24</v>
      </c>
      <c r="J1064" s="46" t="s">
        <v>3</v>
      </c>
      <c r="K1064" s="36" t="s">
        <v>2500</v>
      </c>
    </row>
    <row r="1065" spans="1:11" ht="45" x14ac:dyDescent="0.25">
      <c r="A1065" s="1"/>
      <c r="B1065" s="36">
        <v>1085</v>
      </c>
      <c r="C1065" s="36" t="s">
        <v>277</v>
      </c>
      <c r="D1065" s="36" t="s">
        <v>278</v>
      </c>
      <c r="E1065" s="36">
        <v>716.4</v>
      </c>
      <c r="F1065" s="39">
        <v>716.4</v>
      </c>
      <c r="G1065" s="39" t="s">
        <v>2498</v>
      </c>
      <c r="H1065" s="39" t="s">
        <v>56</v>
      </c>
      <c r="I1065" s="52" t="s">
        <v>24</v>
      </c>
      <c r="J1065" s="46" t="s">
        <v>3</v>
      </c>
      <c r="K1065" s="36" t="s">
        <v>2283</v>
      </c>
    </row>
    <row r="1066" spans="1:11" ht="90" x14ac:dyDescent="0.25">
      <c r="A1066" s="1"/>
      <c r="B1066" s="36">
        <v>1086</v>
      </c>
      <c r="C1066" s="74" t="s">
        <v>2469</v>
      </c>
      <c r="D1066" s="36" t="s">
        <v>2470</v>
      </c>
      <c r="E1066" s="36" t="s">
        <v>2607</v>
      </c>
      <c r="F1066" s="39" t="s">
        <v>2607</v>
      </c>
      <c r="G1066" s="39" t="s">
        <v>2498</v>
      </c>
      <c r="H1066" s="39" t="s">
        <v>56</v>
      </c>
      <c r="I1066" s="52" t="s">
        <v>24</v>
      </c>
      <c r="J1066" s="46" t="s">
        <v>112</v>
      </c>
      <c r="K1066" s="36" t="s">
        <v>2501</v>
      </c>
    </row>
    <row r="1067" spans="1:11" ht="45" x14ac:dyDescent="0.25">
      <c r="A1067" s="1"/>
      <c r="B1067" s="36">
        <v>1087</v>
      </c>
      <c r="C1067" s="36" t="s">
        <v>1903</v>
      </c>
      <c r="D1067" s="36" t="s">
        <v>278</v>
      </c>
      <c r="E1067" s="36" t="s">
        <v>2584</v>
      </c>
      <c r="F1067" s="39">
        <v>1374</v>
      </c>
      <c r="G1067" s="39" t="s">
        <v>2502</v>
      </c>
      <c r="H1067" s="39" t="s">
        <v>56</v>
      </c>
      <c r="I1067" s="52" t="s">
        <v>24</v>
      </c>
      <c r="J1067" s="46" t="s">
        <v>3</v>
      </c>
      <c r="K1067" s="36" t="s">
        <v>2284</v>
      </c>
    </row>
    <row r="1068" spans="1:11" ht="45" x14ac:dyDescent="0.25">
      <c r="A1068" s="1"/>
      <c r="B1068" s="36">
        <v>1089</v>
      </c>
      <c r="C1068" s="36" t="s">
        <v>166</v>
      </c>
      <c r="D1068" s="36" t="s">
        <v>108</v>
      </c>
      <c r="E1068" s="36">
        <v>169.2</v>
      </c>
      <c r="F1068" s="39">
        <v>200</v>
      </c>
      <c r="G1068" s="39" t="s">
        <v>2502</v>
      </c>
      <c r="H1068" s="39" t="s">
        <v>56</v>
      </c>
      <c r="I1068" s="52" t="s">
        <v>24</v>
      </c>
      <c r="J1068" s="46" t="s">
        <v>3</v>
      </c>
      <c r="K1068" s="36" t="s">
        <v>2503</v>
      </c>
    </row>
    <row r="1069" spans="1:11" ht="45" x14ac:dyDescent="0.25">
      <c r="A1069" s="1"/>
      <c r="B1069" s="36">
        <v>1090</v>
      </c>
      <c r="C1069" s="36" t="s">
        <v>931</v>
      </c>
      <c r="D1069" s="36" t="s">
        <v>1156</v>
      </c>
      <c r="E1069" s="36" t="s">
        <v>2827</v>
      </c>
      <c r="F1069" s="39">
        <v>2536</v>
      </c>
      <c r="G1069" s="39" t="s">
        <v>2504</v>
      </c>
      <c r="H1069" s="39" t="s">
        <v>56</v>
      </c>
      <c r="I1069" s="52" t="s">
        <v>24</v>
      </c>
      <c r="J1069" s="46" t="s">
        <v>3</v>
      </c>
      <c r="K1069" s="36" t="s">
        <v>2505</v>
      </c>
    </row>
    <row r="1070" spans="1:11" ht="45" x14ac:dyDescent="0.25">
      <c r="A1070" s="1"/>
      <c r="B1070" s="36">
        <v>1091</v>
      </c>
      <c r="C1070" s="36" t="s">
        <v>1349</v>
      </c>
      <c r="D1070" s="36" t="s">
        <v>278</v>
      </c>
      <c r="E1070" s="36" t="s">
        <v>2599</v>
      </c>
      <c r="F1070" s="39">
        <v>3804</v>
      </c>
      <c r="G1070" s="39" t="s">
        <v>2506</v>
      </c>
      <c r="H1070" s="39" t="s">
        <v>56</v>
      </c>
      <c r="I1070" s="52" t="s">
        <v>24</v>
      </c>
      <c r="J1070" s="46" t="s">
        <v>3</v>
      </c>
      <c r="K1070" s="36" t="s">
        <v>2507</v>
      </c>
    </row>
    <row r="1071" spans="1:11" ht="45" x14ac:dyDescent="0.25">
      <c r="A1071" s="1"/>
      <c r="B1071" s="36">
        <v>1092</v>
      </c>
      <c r="C1071" s="36" t="s">
        <v>1349</v>
      </c>
      <c r="D1071" s="36" t="s">
        <v>278</v>
      </c>
      <c r="E1071" s="36" t="s">
        <v>2598</v>
      </c>
      <c r="F1071" s="39">
        <v>3184</v>
      </c>
      <c r="G1071" s="39" t="s">
        <v>2506</v>
      </c>
      <c r="H1071" s="39" t="s">
        <v>56</v>
      </c>
      <c r="I1071" s="52" t="s">
        <v>24</v>
      </c>
      <c r="J1071" s="46" t="s">
        <v>3</v>
      </c>
      <c r="K1071" s="36" t="s">
        <v>2508</v>
      </c>
    </row>
    <row r="1072" spans="1:11" ht="90" x14ac:dyDescent="0.25">
      <c r="A1072" s="1"/>
      <c r="B1072" s="36">
        <v>1093</v>
      </c>
      <c r="C1072" s="36" t="s">
        <v>1816</v>
      </c>
      <c r="D1072" s="36" t="s">
        <v>2471</v>
      </c>
      <c r="E1072" s="36" t="s">
        <v>2621</v>
      </c>
      <c r="F1072" s="39">
        <v>14750</v>
      </c>
      <c r="G1072" s="39" t="s">
        <v>2509</v>
      </c>
      <c r="H1072" s="39" t="s">
        <v>56</v>
      </c>
      <c r="I1072" s="52" t="s">
        <v>24</v>
      </c>
      <c r="J1072" s="51" t="s">
        <v>398</v>
      </c>
      <c r="K1072" s="36" t="s">
        <v>2510</v>
      </c>
    </row>
    <row r="1073" spans="1:59" s="3" customFormat="1" ht="45" x14ac:dyDescent="0.25">
      <c r="B1073" s="36">
        <v>1094</v>
      </c>
      <c r="C1073" s="36" t="s">
        <v>264</v>
      </c>
      <c r="D1073" s="36" t="s">
        <v>232</v>
      </c>
      <c r="E1073" s="36" t="s">
        <v>2594</v>
      </c>
      <c r="F1073" s="39">
        <v>1025</v>
      </c>
      <c r="G1073" s="39" t="s">
        <v>2509</v>
      </c>
      <c r="H1073" s="39" t="s">
        <v>56</v>
      </c>
      <c r="I1073" s="52" t="s">
        <v>24</v>
      </c>
      <c r="J1073" s="46" t="s">
        <v>3</v>
      </c>
      <c r="K1073" s="36" t="s">
        <v>2511</v>
      </c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</row>
    <row r="1074" spans="1:59" ht="45" x14ac:dyDescent="0.25">
      <c r="A1074" s="1"/>
      <c r="B1074" s="36">
        <v>1095</v>
      </c>
      <c r="C1074" s="36" t="s">
        <v>1653</v>
      </c>
      <c r="D1074" s="36" t="s">
        <v>1156</v>
      </c>
      <c r="E1074" s="36" t="s">
        <v>2705</v>
      </c>
      <c r="F1074" s="39">
        <v>1840</v>
      </c>
      <c r="G1074" s="39" t="s">
        <v>2509</v>
      </c>
      <c r="H1074" s="39" t="s">
        <v>56</v>
      </c>
      <c r="I1074" s="52" t="s">
        <v>24</v>
      </c>
      <c r="J1074" s="46" t="s">
        <v>3</v>
      </c>
      <c r="K1074" s="36" t="s">
        <v>2512</v>
      </c>
    </row>
    <row r="1075" spans="1:59" ht="45" x14ac:dyDescent="0.25">
      <c r="A1075" s="1"/>
      <c r="B1075" s="36">
        <v>1096</v>
      </c>
      <c r="C1075" s="36" t="s">
        <v>132</v>
      </c>
      <c r="D1075" s="36" t="s">
        <v>1156</v>
      </c>
      <c r="E1075" s="36" t="s">
        <v>2699</v>
      </c>
      <c r="F1075" s="39">
        <v>1260</v>
      </c>
      <c r="G1075" s="39" t="s">
        <v>2509</v>
      </c>
      <c r="H1075" s="39" t="s">
        <v>56</v>
      </c>
      <c r="I1075" s="52" t="s">
        <v>24</v>
      </c>
      <c r="J1075" s="46" t="s">
        <v>3</v>
      </c>
      <c r="K1075" s="36" t="s">
        <v>2513</v>
      </c>
    </row>
    <row r="1076" spans="1:59" ht="45" x14ac:dyDescent="0.25">
      <c r="A1076" s="1"/>
      <c r="B1076" s="36">
        <v>1097</v>
      </c>
      <c r="C1076" s="36" t="s">
        <v>1652</v>
      </c>
      <c r="D1076" s="36" t="s">
        <v>108</v>
      </c>
      <c r="E1076" s="36">
        <v>183.2</v>
      </c>
      <c r="F1076" s="39">
        <v>200</v>
      </c>
      <c r="G1076" s="39" t="s">
        <v>2509</v>
      </c>
      <c r="H1076" s="39" t="s">
        <v>56</v>
      </c>
      <c r="I1076" s="52" t="s">
        <v>24</v>
      </c>
      <c r="J1076" s="46" t="s">
        <v>3</v>
      </c>
      <c r="K1076" s="36" t="s">
        <v>2514</v>
      </c>
    </row>
    <row r="1077" spans="1:59" ht="45" x14ac:dyDescent="0.25">
      <c r="A1077" s="1"/>
      <c r="B1077" s="36">
        <v>1098</v>
      </c>
      <c r="C1077" s="36" t="s">
        <v>1815</v>
      </c>
      <c r="D1077" s="36" t="s">
        <v>108</v>
      </c>
      <c r="E1077" s="36">
        <v>238.05</v>
      </c>
      <c r="F1077" s="39">
        <v>240</v>
      </c>
      <c r="G1077" s="39" t="s">
        <v>2509</v>
      </c>
      <c r="H1077" s="39" t="s">
        <v>56</v>
      </c>
      <c r="I1077" s="52" t="s">
        <v>24</v>
      </c>
      <c r="J1077" s="46" t="s">
        <v>3</v>
      </c>
      <c r="K1077" s="36" t="s">
        <v>2515</v>
      </c>
    </row>
    <row r="1078" spans="1:59" ht="45" x14ac:dyDescent="0.25">
      <c r="A1078" s="1"/>
      <c r="B1078" s="36">
        <v>1099</v>
      </c>
      <c r="C1078" s="36" t="s">
        <v>1333</v>
      </c>
      <c r="D1078" s="36" t="s">
        <v>108</v>
      </c>
      <c r="E1078" s="36">
        <v>160.6</v>
      </c>
      <c r="F1078" s="39">
        <v>200</v>
      </c>
      <c r="G1078" s="39" t="s">
        <v>2509</v>
      </c>
      <c r="H1078" s="39" t="s">
        <v>56</v>
      </c>
      <c r="I1078" s="52" t="s">
        <v>24</v>
      </c>
      <c r="J1078" s="46" t="s">
        <v>3</v>
      </c>
      <c r="K1078" s="36" t="s">
        <v>2516</v>
      </c>
    </row>
    <row r="1079" spans="1:59" ht="45" x14ac:dyDescent="0.25">
      <c r="A1079" s="1"/>
      <c r="B1079" s="36">
        <v>1100</v>
      </c>
      <c r="C1079" s="36" t="s">
        <v>2401</v>
      </c>
      <c r="D1079" s="36" t="s">
        <v>108</v>
      </c>
      <c r="E1079" s="36">
        <v>200</v>
      </c>
      <c r="F1079" s="39">
        <v>200</v>
      </c>
      <c r="G1079" s="39" t="s">
        <v>2509</v>
      </c>
      <c r="H1079" s="39" t="s">
        <v>56</v>
      </c>
      <c r="I1079" s="52" t="s">
        <v>24</v>
      </c>
      <c r="J1079" s="46" t="s">
        <v>3</v>
      </c>
      <c r="K1079" s="36" t="s">
        <v>2517</v>
      </c>
    </row>
    <row r="1080" spans="1:59" ht="45" x14ac:dyDescent="0.25">
      <c r="A1080" s="1"/>
      <c r="B1080" s="36">
        <v>1101</v>
      </c>
      <c r="C1080" s="36" t="s">
        <v>272</v>
      </c>
      <c r="D1080" s="36" t="s">
        <v>110</v>
      </c>
      <c r="E1080" s="36" t="s">
        <v>1775</v>
      </c>
      <c r="F1080" s="39">
        <v>1000</v>
      </c>
      <c r="G1080" s="39" t="s">
        <v>2509</v>
      </c>
      <c r="H1080" s="39" t="s">
        <v>56</v>
      </c>
      <c r="I1080" s="39" t="s">
        <v>24</v>
      </c>
      <c r="J1080" s="46" t="s">
        <v>3</v>
      </c>
      <c r="K1080" s="36" t="s">
        <v>2518</v>
      </c>
    </row>
    <row r="1081" spans="1:59" ht="45" x14ac:dyDescent="0.25">
      <c r="A1081" s="1"/>
      <c r="B1081" s="36">
        <v>1102</v>
      </c>
      <c r="C1081" s="36" t="s">
        <v>329</v>
      </c>
      <c r="D1081" s="36" t="s">
        <v>108</v>
      </c>
      <c r="E1081" s="36">
        <v>425</v>
      </c>
      <c r="F1081" s="39">
        <v>1120</v>
      </c>
      <c r="G1081" s="39" t="s">
        <v>2509</v>
      </c>
      <c r="H1081" s="39" t="s">
        <v>56</v>
      </c>
      <c r="I1081" s="39" t="s">
        <v>24</v>
      </c>
      <c r="J1081" s="46" t="s">
        <v>3</v>
      </c>
      <c r="K1081" s="36" t="s">
        <v>2519</v>
      </c>
    </row>
    <row r="1082" spans="1:59" ht="45" x14ac:dyDescent="0.25">
      <c r="A1082" s="1"/>
      <c r="B1082" s="36">
        <v>1103</v>
      </c>
      <c r="C1082" s="36" t="s">
        <v>863</v>
      </c>
      <c r="D1082" s="36" t="s">
        <v>108</v>
      </c>
      <c r="E1082" s="36" t="s">
        <v>2606</v>
      </c>
      <c r="F1082" s="39">
        <v>1120</v>
      </c>
      <c r="G1082" s="39" t="s">
        <v>2509</v>
      </c>
      <c r="H1082" s="39" t="s">
        <v>56</v>
      </c>
      <c r="I1082" s="39" t="s">
        <v>24</v>
      </c>
      <c r="J1082" s="46" t="s">
        <v>3</v>
      </c>
      <c r="K1082" s="36" t="s">
        <v>2520</v>
      </c>
    </row>
    <row r="1083" spans="1:59" ht="45" x14ac:dyDescent="0.25">
      <c r="A1083" s="1"/>
      <c r="B1083" s="36">
        <v>1104</v>
      </c>
      <c r="C1083" s="36" t="s">
        <v>2472</v>
      </c>
      <c r="D1083" s="36" t="s">
        <v>108</v>
      </c>
      <c r="E1083" s="36" t="s">
        <v>730</v>
      </c>
      <c r="F1083" s="39">
        <v>2520</v>
      </c>
      <c r="G1083" s="39" t="s">
        <v>2509</v>
      </c>
      <c r="H1083" s="39" t="s">
        <v>56</v>
      </c>
      <c r="I1083" s="52" t="s">
        <v>24</v>
      </c>
      <c r="J1083" s="46" t="s">
        <v>3</v>
      </c>
      <c r="K1083" s="36" t="s">
        <v>2521</v>
      </c>
    </row>
    <row r="1084" spans="1:59" ht="45" x14ac:dyDescent="0.25">
      <c r="A1084" s="1"/>
      <c r="B1084" s="36">
        <v>1105</v>
      </c>
      <c r="C1084" s="36" t="s">
        <v>1803</v>
      </c>
      <c r="D1084" s="36" t="s">
        <v>108</v>
      </c>
      <c r="E1084" s="36" t="s">
        <v>2845</v>
      </c>
      <c r="F1084" s="39">
        <v>1400</v>
      </c>
      <c r="G1084" s="39" t="s">
        <v>2509</v>
      </c>
      <c r="H1084" s="39" t="s">
        <v>56</v>
      </c>
      <c r="I1084" s="39" t="s">
        <v>24</v>
      </c>
      <c r="J1084" s="46" t="s">
        <v>3</v>
      </c>
      <c r="K1084" s="36" t="s">
        <v>2522</v>
      </c>
    </row>
    <row r="1085" spans="1:59" ht="45" x14ac:dyDescent="0.25">
      <c r="A1085" s="1"/>
      <c r="B1085" s="36">
        <v>1106</v>
      </c>
      <c r="C1085" s="36" t="s">
        <v>2473</v>
      </c>
      <c r="D1085" s="36" t="s">
        <v>1156</v>
      </c>
      <c r="E1085" s="36" t="s">
        <v>602</v>
      </c>
      <c r="F1085" s="39">
        <v>1400</v>
      </c>
      <c r="G1085" s="39" t="s">
        <v>2509</v>
      </c>
      <c r="H1085" s="39" t="s">
        <v>56</v>
      </c>
      <c r="I1085" s="39" t="s">
        <v>24</v>
      </c>
      <c r="J1085" s="46" t="s">
        <v>3</v>
      </c>
      <c r="K1085" s="36" t="s">
        <v>2523</v>
      </c>
    </row>
    <row r="1086" spans="1:59" ht="45" x14ac:dyDescent="0.25">
      <c r="A1086" s="1"/>
      <c r="B1086" s="36">
        <v>1107</v>
      </c>
      <c r="C1086" s="36" t="s">
        <v>1803</v>
      </c>
      <c r="D1086" s="36" t="s">
        <v>1156</v>
      </c>
      <c r="E1086" s="36" t="s">
        <v>2844</v>
      </c>
      <c r="F1086" s="39">
        <v>2100</v>
      </c>
      <c r="G1086" s="39" t="s">
        <v>2509</v>
      </c>
      <c r="H1086" s="39" t="s">
        <v>56</v>
      </c>
      <c r="I1086" s="39" t="s">
        <v>24</v>
      </c>
      <c r="J1086" s="46" t="s">
        <v>3</v>
      </c>
      <c r="K1086" s="36" t="s">
        <v>2524</v>
      </c>
    </row>
    <row r="1087" spans="1:59" ht="45" x14ac:dyDescent="0.25">
      <c r="A1087" s="1"/>
      <c r="B1087" s="36">
        <v>1108</v>
      </c>
      <c r="C1087" s="36" t="s">
        <v>109</v>
      </c>
      <c r="D1087" s="36" t="s">
        <v>110</v>
      </c>
      <c r="E1087" s="36" t="s">
        <v>2593</v>
      </c>
      <c r="F1087" s="39">
        <v>6000</v>
      </c>
      <c r="G1087" s="39" t="s">
        <v>2509</v>
      </c>
      <c r="H1087" s="39" t="s">
        <v>56</v>
      </c>
      <c r="I1087" s="39" t="s">
        <v>24</v>
      </c>
      <c r="J1087" s="46" t="s">
        <v>3</v>
      </c>
      <c r="K1087" s="36" t="s">
        <v>2525</v>
      </c>
    </row>
    <row r="1088" spans="1:59" ht="45" x14ac:dyDescent="0.25">
      <c r="A1088" s="1"/>
      <c r="B1088" s="36">
        <v>1109</v>
      </c>
      <c r="C1088" s="36" t="s">
        <v>1349</v>
      </c>
      <c r="D1088" s="36" t="s">
        <v>278</v>
      </c>
      <c r="E1088" s="36" t="s">
        <v>2597</v>
      </c>
      <c r="F1088" s="39">
        <v>4732.0200000000004</v>
      </c>
      <c r="G1088" s="39" t="s">
        <v>2526</v>
      </c>
      <c r="H1088" s="39" t="s">
        <v>56</v>
      </c>
      <c r="I1088" s="39" t="s">
        <v>24</v>
      </c>
      <c r="J1088" s="46" t="s">
        <v>3</v>
      </c>
      <c r="K1088" s="36" t="s">
        <v>2527</v>
      </c>
    </row>
    <row r="1089" spans="1:11" ht="45" x14ac:dyDescent="0.25">
      <c r="A1089" s="1"/>
      <c r="B1089" s="36">
        <v>1110</v>
      </c>
      <c r="C1089" s="36" t="s">
        <v>277</v>
      </c>
      <c r="D1089" s="36" t="s">
        <v>278</v>
      </c>
      <c r="E1089" s="36" t="s">
        <v>2596</v>
      </c>
      <c r="F1089" s="39">
        <v>5069.3999999999996</v>
      </c>
      <c r="G1089" s="39" t="s">
        <v>2526</v>
      </c>
      <c r="H1089" s="39" t="s">
        <v>56</v>
      </c>
      <c r="I1089" s="39" t="s">
        <v>24</v>
      </c>
      <c r="J1089" s="46" t="s">
        <v>3</v>
      </c>
      <c r="K1089" s="36" t="s">
        <v>2528</v>
      </c>
    </row>
    <row r="1090" spans="1:11" ht="45" x14ac:dyDescent="0.25">
      <c r="A1090" s="1"/>
      <c r="B1090" s="36">
        <v>1111</v>
      </c>
      <c r="C1090" s="36" t="s">
        <v>326</v>
      </c>
      <c r="D1090" s="36" t="s">
        <v>108</v>
      </c>
      <c r="E1090" s="36">
        <v>168.65</v>
      </c>
      <c r="F1090" s="39">
        <v>200</v>
      </c>
      <c r="G1090" s="39" t="s">
        <v>2526</v>
      </c>
      <c r="H1090" s="39" t="s">
        <v>56</v>
      </c>
      <c r="I1090" s="39" t="s">
        <v>24</v>
      </c>
      <c r="J1090" s="46" t="s">
        <v>3</v>
      </c>
      <c r="K1090" s="36" t="s">
        <v>2529</v>
      </c>
    </row>
    <row r="1091" spans="1:11" ht="45" x14ac:dyDescent="0.25">
      <c r="A1091" s="1"/>
      <c r="B1091" s="36">
        <v>1112</v>
      </c>
      <c r="C1091" s="36" t="s">
        <v>272</v>
      </c>
      <c r="D1091" s="36" t="s">
        <v>110</v>
      </c>
      <c r="E1091" s="36">
        <v>120</v>
      </c>
      <c r="F1091" s="39">
        <v>120</v>
      </c>
      <c r="G1091" s="39" t="s">
        <v>2526</v>
      </c>
      <c r="H1091" s="39" t="s">
        <v>56</v>
      </c>
      <c r="I1091" s="39" t="s">
        <v>24</v>
      </c>
      <c r="J1091" s="46" t="s">
        <v>3</v>
      </c>
      <c r="K1091" s="36" t="s">
        <v>2530</v>
      </c>
    </row>
    <row r="1092" spans="1:11" ht="45" x14ac:dyDescent="0.25">
      <c r="A1092" s="1"/>
      <c r="B1092" s="36">
        <v>1113</v>
      </c>
      <c r="C1092" s="36" t="s">
        <v>2474</v>
      </c>
      <c r="D1092" s="36" t="s">
        <v>1156</v>
      </c>
      <c r="E1092" s="62" t="s">
        <v>2618</v>
      </c>
      <c r="F1092" s="39">
        <v>4724.72</v>
      </c>
      <c r="G1092" s="39" t="s">
        <v>2526</v>
      </c>
      <c r="H1092" s="39" t="s">
        <v>56</v>
      </c>
      <c r="I1092" s="39" t="s">
        <v>24</v>
      </c>
      <c r="J1092" s="46" t="s">
        <v>3</v>
      </c>
      <c r="K1092" s="36" t="s">
        <v>2531</v>
      </c>
    </row>
    <row r="1093" spans="1:11" ht="45" x14ac:dyDescent="0.25">
      <c r="A1093" s="1"/>
      <c r="B1093" s="36">
        <v>1114</v>
      </c>
      <c r="C1093" s="36" t="s">
        <v>947</v>
      </c>
      <c r="D1093" s="36" t="s">
        <v>1156</v>
      </c>
      <c r="E1093" s="36" t="s">
        <v>2617</v>
      </c>
      <c r="F1093" s="39">
        <v>22007.25</v>
      </c>
      <c r="G1093" s="39" t="s">
        <v>2526</v>
      </c>
      <c r="H1093" s="39" t="s">
        <v>56</v>
      </c>
      <c r="I1093" s="39" t="s">
        <v>24</v>
      </c>
      <c r="J1093" s="46" t="s">
        <v>3</v>
      </c>
      <c r="K1093" s="36" t="s">
        <v>2532</v>
      </c>
    </row>
    <row r="1094" spans="1:11" ht="45" x14ac:dyDescent="0.25">
      <c r="A1094" s="1"/>
      <c r="B1094" s="36">
        <v>1115</v>
      </c>
      <c r="C1094" s="36" t="s">
        <v>2392</v>
      </c>
      <c r="D1094" s="36" t="s">
        <v>1156</v>
      </c>
      <c r="E1094" s="36">
        <v>743.75</v>
      </c>
      <c r="F1094" s="39">
        <v>743.75</v>
      </c>
      <c r="G1094" s="39" t="s">
        <v>2526</v>
      </c>
      <c r="H1094" s="39" t="s">
        <v>56</v>
      </c>
      <c r="I1094" s="39" t="s">
        <v>24</v>
      </c>
      <c r="J1094" s="46" t="s">
        <v>3</v>
      </c>
      <c r="K1094" s="36" t="s">
        <v>2533</v>
      </c>
    </row>
    <row r="1095" spans="1:11" ht="45" x14ac:dyDescent="0.25">
      <c r="A1095" s="1"/>
      <c r="B1095" s="36">
        <v>1116</v>
      </c>
      <c r="C1095" s="36" t="s">
        <v>2392</v>
      </c>
      <c r="D1095" s="36" t="s">
        <v>108</v>
      </c>
      <c r="E1095" s="36">
        <v>407</v>
      </c>
      <c r="F1095" s="39">
        <v>450</v>
      </c>
      <c r="G1095" s="39" t="s">
        <v>2526</v>
      </c>
      <c r="H1095" s="39" t="s">
        <v>56</v>
      </c>
      <c r="I1095" s="39" t="s">
        <v>24</v>
      </c>
      <c r="J1095" s="46" t="s">
        <v>3</v>
      </c>
      <c r="K1095" s="36" t="s">
        <v>2534</v>
      </c>
    </row>
    <row r="1096" spans="1:11" ht="45" x14ac:dyDescent="0.25">
      <c r="A1096" s="1"/>
      <c r="B1096" s="36">
        <v>1117</v>
      </c>
      <c r="C1096" s="36" t="s">
        <v>1913</v>
      </c>
      <c r="D1096" s="36" t="s">
        <v>110</v>
      </c>
      <c r="E1096" s="36">
        <v>500</v>
      </c>
      <c r="F1096" s="39">
        <v>500</v>
      </c>
      <c r="G1096" s="39" t="s">
        <v>2526</v>
      </c>
      <c r="H1096" s="39" t="s">
        <v>56</v>
      </c>
      <c r="I1096" s="39" t="s">
        <v>24</v>
      </c>
      <c r="J1096" s="46" t="s">
        <v>3</v>
      </c>
      <c r="K1096" s="36" t="s">
        <v>2535</v>
      </c>
    </row>
    <row r="1097" spans="1:11" ht="45" x14ac:dyDescent="0.25">
      <c r="A1097" s="1"/>
      <c r="B1097" s="36">
        <v>1118</v>
      </c>
      <c r="C1097" s="36" t="s">
        <v>2475</v>
      </c>
      <c r="D1097" s="36" t="s">
        <v>2476</v>
      </c>
      <c r="E1097" s="36">
        <v>200</v>
      </c>
      <c r="F1097" s="39">
        <v>200</v>
      </c>
      <c r="G1097" s="39" t="s">
        <v>2536</v>
      </c>
      <c r="H1097" s="39" t="s">
        <v>56</v>
      </c>
      <c r="I1097" s="39" t="s">
        <v>24</v>
      </c>
      <c r="J1097" s="46" t="s">
        <v>826</v>
      </c>
      <c r="K1097" s="36" t="s">
        <v>2537</v>
      </c>
    </row>
    <row r="1098" spans="1:11" ht="45" x14ac:dyDescent="0.25">
      <c r="A1098" s="1"/>
      <c r="B1098" s="36">
        <v>1119</v>
      </c>
      <c r="C1098" s="36" t="s">
        <v>650</v>
      </c>
      <c r="D1098" s="36" t="s">
        <v>2390</v>
      </c>
      <c r="E1098" s="36" t="s">
        <v>2613</v>
      </c>
      <c r="F1098" s="39">
        <v>4956</v>
      </c>
      <c r="G1098" s="39" t="s">
        <v>2536</v>
      </c>
      <c r="H1098" s="39" t="s">
        <v>56</v>
      </c>
      <c r="I1098" s="39" t="s">
        <v>24</v>
      </c>
      <c r="J1098" s="46" t="s">
        <v>3</v>
      </c>
      <c r="K1098" s="36" t="s">
        <v>2538</v>
      </c>
    </row>
    <row r="1099" spans="1:11" ht="45" x14ac:dyDescent="0.25">
      <c r="A1099" s="1"/>
      <c r="B1099" s="36">
        <v>1120</v>
      </c>
      <c r="C1099" s="36" t="s">
        <v>650</v>
      </c>
      <c r="D1099" s="36" t="s">
        <v>108</v>
      </c>
      <c r="E1099" s="36">
        <v>125.67</v>
      </c>
      <c r="F1099" s="39">
        <v>160</v>
      </c>
      <c r="G1099" s="39" t="s">
        <v>2536</v>
      </c>
      <c r="H1099" s="39" t="s">
        <v>56</v>
      </c>
      <c r="I1099" s="39" t="s">
        <v>24</v>
      </c>
      <c r="J1099" s="46" t="s">
        <v>3</v>
      </c>
      <c r="K1099" s="36" t="s">
        <v>2539</v>
      </c>
    </row>
    <row r="1100" spans="1:11" ht="33.75" x14ac:dyDescent="0.25">
      <c r="A1100" s="1"/>
      <c r="B1100" s="36">
        <v>1121</v>
      </c>
      <c r="C1100" s="36" t="s">
        <v>1645</v>
      </c>
      <c r="D1100" s="36" t="s">
        <v>2477</v>
      </c>
      <c r="E1100" s="39">
        <v>7900</v>
      </c>
      <c r="F1100" s="39">
        <v>7900</v>
      </c>
      <c r="G1100" s="39" t="s">
        <v>2536</v>
      </c>
      <c r="H1100" s="39" t="s">
        <v>56</v>
      </c>
      <c r="I1100" s="39" t="s">
        <v>24</v>
      </c>
      <c r="J1100" s="46" t="s">
        <v>2540</v>
      </c>
      <c r="K1100" s="46" t="s">
        <v>2540</v>
      </c>
    </row>
    <row r="1101" spans="1:11" ht="45" x14ac:dyDescent="0.25">
      <c r="A1101" s="1"/>
      <c r="B1101" s="36">
        <v>1122</v>
      </c>
      <c r="C1101" s="36" t="s">
        <v>736</v>
      </c>
      <c r="D1101" s="36" t="s">
        <v>1156</v>
      </c>
      <c r="E1101" s="36" t="s">
        <v>2701</v>
      </c>
      <c r="F1101" s="39">
        <v>3720</v>
      </c>
      <c r="G1101" s="39" t="s">
        <v>2405</v>
      </c>
      <c r="H1101" s="39" t="s">
        <v>56</v>
      </c>
      <c r="I1101" s="39" t="s">
        <v>24</v>
      </c>
      <c r="J1101" s="46" t="s">
        <v>3</v>
      </c>
      <c r="K1101" s="36" t="s">
        <v>2541</v>
      </c>
    </row>
    <row r="1102" spans="1:11" ht="45" x14ac:dyDescent="0.25">
      <c r="A1102" s="1"/>
      <c r="B1102" s="36">
        <v>1123</v>
      </c>
      <c r="C1102" s="36" t="s">
        <v>326</v>
      </c>
      <c r="D1102" s="36" t="s">
        <v>108</v>
      </c>
      <c r="E1102" s="36">
        <v>400.5</v>
      </c>
      <c r="F1102" s="39">
        <v>660</v>
      </c>
      <c r="G1102" s="39" t="s">
        <v>2405</v>
      </c>
      <c r="H1102" s="39" t="s">
        <v>56</v>
      </c>
      <c r="I1102" s="39" t="s">
        <v>24</v>
      </c>
      <c r="J1102" s="46" t="s">
        <v>3</v>
      </c>
      <c r="K1102" s="36" t="s">
        <v>2542</v>
      </c>
    </row>
    <row r="1103" spans="1:11" ht="45" x14ac:dyDescent="0.25">
      <c r="A1103" s="1"/>
      <c r="B1103" s="36">
        <v>1124</v>
      </c>
      <c r="C1103" s="36" t="s">
        <v>1365</v>
      </c>
      <c r="D1103" s="36" t="s">
        <v>108</v>
      </c>
      <c r="E1103" s="36">
        <v>547.79999999999995</v>
      </c>
      <c r="F1103" s="39">
        <v>550</v>
      </c>
      <c r="G1103" s="39" t="s">
        <v>2405</v>
      </c>
      <c r="H1103" s="39" t="s">
        <v>56</v>
      </c>
      <c r="I1103" s="39" t="s">
        <v>24</v>
      </c>
      <c r="J1103" s="46" t="s">
        <v>3</v>
      </c>
      <c r="K1103" s="36" t="s">
        <v>2543</v>
      </c>
    </row>
    <row r="1104" spans="1:11" ht="45" x14ac:dyDescent="0.25">
      <c r="A1104" s="1"/>
      <c r="B1104" s="36">
        <v>1125</v>
      </c>
      <c r="C1104" s="36" t="s">
        <v>736</v>
      </c>
      <c r="D1104" s="36" t="s">
        <v>108</v>
      </c>
      <c r="E1104" s="36">
        <v>543.4</v>
      </c>
      <c r="F1104" s="39">
        <v>660</v>
      </c>
      <c r="G1104" s="39" t="s">
        <v>2405</v>
      </c>
      <c r="H1104" s="39" t="s">
        <v>56</v>
      </c>
      <c r="I1104" s="39" t="s">
        <v>24</v>
      </c>
      <c r="J1104" s="46" t="s">
        <v>3</v>
      </c>
      <c r="K1104" s="36" t="s">
        <v>2544</v>
      </c>
    </row>
    <row r="1105" spans="1:11" ht="45" x14ac:dyDescent="0.25">
      <c r="A1105" s="1"/>
      <c r="B1105" s="36">
        <v>1126</v>
      </c>
      <c r="C1105" s="36" t="s">
        <v>2380</v>
      </c>
      <c r="D1105" s="36" t="s">
        <v>108</v>
      </c>
      <c r="E1105" s="36" t="s">
        <v>2609</v>
      </c>
      <c r="F1105" s="39">
        <v>1210</v>
      </c>
      <c r="G1105" s="39" t="s">
        <v>2405</v>
      </c>
      <c r="H1105" s="39" t="s">
        <v>56</v>
      </c>
      <c r="I1105" s="39" t="s">
        <v>24</v>
      </c>
      <c r="J1105" s="46" t="s">
        <v>3</v>
      </c>
      <c r="K1105" s="36" t="s">
        <v>2545</v>
      </c>
    </row>
    <row r="1106" spans="1:11" ht="45" x14ac:dyDescent="0.25">
      <c r="A1106" s="1"/>
      <c r="B1106" s="36">
        <v>1127</v>
      </c>
      <c r="C1106" s="36" t="s">
        <v>865</v>
      </c>
      <c r="D1106" s="36" t="s">
        <v>108</v>
      </c>
      <c r="E1106" s="36">
        <v>424.05</v>
      </c>
      <c r="F1106" s="39">
        <v>660</v>
      </c>
      <c r="G1106" s="39" t="s">
        <v>2405</v>
      </c>
      <c r="H1106" s="39" t="s">
        <v>56</v>
      </c>
      <c r="I1106" s="39" t="s">
        <v>24</v>
      </c>
      <c r="J1106" s="46" t="s">
        <v>3</v>
      </c>
      <c r="K1106" s="36" t="s">
        <v>2546</v>
      </c>
    </row>
    <row r="1107" spans="1:11" ht="45" x14ac:dyDescent="0.25">
      <c r="A1107" s="1"/>
      <c r="B1107" s="36">
        <v>1128</v>
      </c>
      <c r="C1107" s="36" t="s">
        <v>744</v>
      </c>
      <c r="D1107" s="36" t="s">
        <v>108</v>
      </c>
      <c r="E1107" s="36">
        <v>550</v>
      </c>
      <c r="F1107" s="39">
        <v>550</v>
      </c>
      <c r="G1107" s="39" t="s">
        <v>2405</v>
      </c>
      <c r="H1107" s="39" t="s">
        <v>56</v>
      </c>
      <c r="I1107" s="39" t="s">
        <v>24</v>
      </c>
      <c r="J1107" s="46" t="s">
        <v>3</v>
      </c>
      <c r="K1107" s="36" t="s">
        <v>2547</v>
      </c>
    </row>
    <row r="1108" spans="1:11" ht="45" x14ac:dyDescent="0.25">
      <c r="A1108" s="1"/>
      <c r="B1108" s="36">
        <v>1129</v>
      </c>
      <c r="C1108" s="36" t="s">
        <v>2458</v>
      </c>
      <c r="D1108" s="36" t="s">
        <v>108</v>
      </c>
      <c r="E1108" s="36">
        <v>482</v>
      </c>
      <c r="F1108" s="39">
        <v>550</v>
      </c>
      <c r="G1108" s="39" t="s">
        <v>2405</v>
      </c>
      <c r="H1108" s="39" t="s">
        <v>56</v>
      </c>
      <c r="I1108" s="39" t="s">
        <v>24</v>
      </c>
      <c r="J1108" s="46" t="s">
        <v>3</v>
      </c>
      <c r="K1108" s="36" t="s">
        <v>2548</v>
      </c>
    </row>
    <row r="1109" spans="1:11" ht="45" x14ac:dyDescent="0.25">
      <c r="A1109" s="1"/>
      <c r="B1109" s="36">
        <v>1130</v>
      </c>
      <c r="C1109" s="36" t="s">
        <v>2478</v>
      </c>
      <c r="D1109" s="36" t="s">
        <v>108</v>
      </c>
      <c r="E1109" s="36">
        <v>511</v>
      </c>
      <c r="F1109" s="39">
        <v>550</v>
      </c>
      <c r="G1109" s="39" t="s">
        <v>2405</v>
      </c>
      <c r="H1109" s="39" t="s">
        <v>56</v>
      </c>
      <c r="I1109" s="39" t="s">
        <v>24</v>
      </c>
      <c r="J1109" s="46" t="s">
        <v>3</v>
      </c>
      <c r="K1109" s="36" t="s">
        <v>2549</v>
      </c>
    </row>
    <row r="1110" spans="1:11" ht="45" x14ac:dyDescent="0.25">
      <c r="A1110" s="1"/>
      <c r="B1110" s="36">
        <v>1131</v>
      </c>
      <c r="C1110" s="36" t="s">
        <v>2479</v>
      </c>
      <c r="D1110" s="36" t="s">
        <v>108</v>
      </c>
      <c r="E1110" s="36">
        <v>660</v>
      </c>
      <c r="F1110" s="39">
        <v>660</v>
      </c>
      <c r="G1110" s="39" t="s">
        <v>2405</v>
      </c>
      <c r="H1110" s="39" t="s">
        <v>56</v>
      </c>
      <c r="I1110" s="39" t="s">
        <v>24</v>
      </c>
      <c r="J1110" s="46" t="s">
        <v>3</v>
      </c>
      <c r="K1110" s="36" t="s">
        <v>2550</v>
      </c>
    </row>
    <row r="1111" spans="1:11" ht="45" x14ac:dyDescent="0.25">
      <c r="A1111" s="1"/>
      <c r="B1111" s="36">
        <v>1132</v>
      </c>
      <c r="C1111" s="36" t="s">
        <v>264</v>
      </c>
      <c r="D1111" s="36" t="s">
        <v>232</v>
      </c>
      <c r="E1111" s="36" t="s">
        <v>2610</v>
      </c>
      <c r="F1111" s="39">
        <v>2512.5</v>
      </c>
      <c r="G1111" s="39" t="s">
        <v>2405</v>
      </c>
      <c r="H1111" s="39" t="s">
        <v>56</v>
      </c>
      <c r="I1111" s="39" t="s">
        <v>24</v>
      </c>
      <c r="J1111" s="46" t="s">
        <v>3</v>
      </c>
      <c r="K1111" s="36" t="s">
        <v>2406</v>
      </c>
    </row>
    <row r="1112" spans="1:11" ht="45" x14ac:dyDescent="0.25">
      <c r="A1112" s="1"/>
      <c r="B1112" s="36">
        <v>1133</v>
      </c>
      <c r="C1112" s="36" t="s">
        <v>78</v>
      </c>
      <c r="D1112" s="36" t="s">
        <v>72</v>
      </c>
      <c r="E1112" s="36">
        <v>550</v>
      </c>
      <c r="F1112" s="39">
        <v>550</v>
      </c>
      <c r="G1112" s="39" t="s">
        <v>2405</v>
      </c>
      <c r="H1112" s="39" t="s">
        <v>56</v>
      </c>
      <c r="I1112" s="39" t="s">
        <v>24</v>
      </c>
      <c r="J1112" s="46" t="s">
        <v>3</v>
      </c>
      <c r="K1112" s="36" t="s">
        <v>2407</v>
      </c>
    </row>
    <row r="1113" spans="1:11" ht="45" x14ac:dyDescent="0.25">
      <c r="A1113" s="1"/>
      <c r="B1113" s="36">
        <v>1134</v>
      </c>
      <c r="C1113" s="36" t="s">
        <v>109</v>
      </c>
      <c r="D1113" s="36" t="s">
        <v>110</v>
      </c>
      <c r="E1113" s="36" t="s">
        <v>2313</v>
      </c>
      <c r="F1113" s="39">
        <v>3850</v>
      </c>
      <c r="G1113" s="39" t="s">
        <v>2405</v>
      </c>
      <c r="H1113" s="39" t="s">
        <v>56</v>
      </c>
      <c r="I1113" s="39" t="s">
        <v>24</v>
      </c>
      <c r="J1113" s="46" t="s">
        <v>3</v>
      </c>
      <c r="K1113" s="36" t="s">
        <v>2408</v>
      </c>
    </row>
    <row r="1114" spans="1:11" ht="45" x14ac:dyDescent="0.25">
      <c r="A1114" s="1"/>
      <c r="B1114" s="36">
        <v>1135</v>
      </c>
      <c r="C1114" s="36" t="s">
        <v>1659</v>
      </c>
      <c r="D1114" s="36" t="s">
        <v>108</v>
      </c>
      <c r="E1114" s="36">
        <v>213.32</v>
      </c>
      <c r="F1114" s="39">
        <v>215</v>
      </c>
      <c r="G1114" s="39" t="s">
        <v>2405</v>
      </c>
      <c r="H1114" s="39" t="s">
        <v>56</v>
      </c>
      <c r="I1114" s="39" t="s">
        <v>24</v>
      </c>
      <c r="J1114" s="46" t="s">
        <v>3</v>
      </c>
      <c r="K1114" s="36" t="s">
        <v>2409</v>
      </c>
    </row>
    <row r="1115" spans="1:11" ht="45.75" x14ac:dyDescent="0.25">
      <c r="A1115" s="1"/>
      <c r="B1115" s="36">
        <v>1136</v>
      </c>
      <c r="C1115" s="36" t="s">
        <v>2375</v>
      </c>
      <c r="D1115" s="36" t="s">
        <v>2376</v>
      </c>
      <c r="E1115" s="36">
        <v>50</v>
      </c>
      <c r="F1115" s="39">
        <v>50</v>
      </c>
      <c r="G1115" s="39" t="s">
        <v>2405</v>
      </c>
      <c r="H1115" s="39" t="s">
        <v>56</v>
      </c>
      <c r="I1115" s="39" t="s">
        <v>24</v>
      </c>
      <c r="J1115" s="46" t="s">
        <v>6</v>
      </c>
      <c r="K1115" s="36" t="s">
        <v>2410</v>
      </c>
    </row>
    <row r="1116" spans="1:11" ht="56.25" x14ac:dyDescent="0.25">
      <c r="A1116" s="1"/>
      <c r="B1116" s="36">
        <v>1137</v>
      </c>
      <c r="C1116" s="36" t="s">
        <v>2377</v>
      </c>
      <c r="D1116" s="36" t="s">
        <v>2378</v>
      </c>
      <c r="E1116" s="36">
        <v>25159</v>
      </c>
      <c r="F1116" s="39">
        <v>26189</v>
      </c>
      <c r="G1116" s="39" t="s">
        <v>2411</v>
      </c>
      <c r="H1116" s="39" t="s">
        <v>56</v>
      </c>
      <c r="I1116" s="39" t="s">
        <v>24</v>
      </c>
      <c r="J1116" s="46" t="s">
        <v>2412</v>
      </c>
      <c r="K1116" s="36"/>
    </row>
    <row r="1117" spans="1:11" ht="45" x14ac:dyDescent="0.25">
      <c r="A1117" s="1"/>
      <c r="B1117" s="36">
        <v>1138</v>
      </c>
      <c r="C1117" s="36" t="s">
        <v>2379</v>
      </c>
      <c r="D1117" s="36" t="s">
        <v>110</v>
      </c>
      <c r="E1117" s="36" t="s">
        <v>2616</v>
      </c>
      <c r="F1117" s="39">
        <v>1812.6</v>
      </c>
      <c r="G1117" s="39" t="s">
        <v>2414</v>
      </c>
      <c r="H1117" s="39" t="s">
        <v>56</v>
      </c>
      <c r="I1117" s="39" t="s">
        <v>24</v>
      </c>
      <c r="J1117" s="46" t="s">
        <v>3</v>
      </c>
      <c r="K1117" s="36" t="s">
        <v>2415</v>
      </c>
    </row>
    <row r="1118" spans="1:11" ht="45" x14ac:dyDescent="0.25">
      <c r="A1118" s="1"/>
      <c r="B1118" s="36">
        <v>1139</v>
      </c>
      <c r="C1118" s="36" t="s">
        <v>2379</v>
      </c>
      <c r="D1118" s="36" t="s">
        <v>232</v>
      </c>
      <c r="E1118" s="36" t="s">
        <v>2620</v>
      </c>
      <c r="F1118" s="39">
        <v>1130</v>
      </c>
      <c r="G1118" s="39" t="s">
        <v>2414</v>
      </c>
      <c r="H1118" s="39" t="s">
        <v>56</v>
      </c>
      <c r="I1118" s="39" t="s">
        <v>24</v>
      </c>
      <c r="J1118" s="46" t="s">
        <v>3</v>
      </c>
      <c r="K1118" s="36" t="s">
        <v>2413</v>
      </c>
    </row>
    <row r="1119" spans="1:11" ht="45" x14ac:dyDescent="0.25">
      <c r="A1119" s="1"/>
      <c r="B1119" s="36">
        <v>1140</v>
      </c>
      <c r="C1119" s="36" t="s">
        <v>1321</v>
      </c>
      <c r="D1119" s="36" t="s">
        <v>1156</v>
      </c>
      <c r="E1119" s="36">
        <v>100</v>
      </c>
      <c r="F1119" s="39">
        <v>100</v>
      </c>
      <c r="G1119" s="39" t="s">
        <v>2414</v>
      </c>
      <c r="H1119" s="39" t="s">
        <v>56</v>
      </c>
      <c r="I1119" s="39" t="s">
        <v>24</v>
      </c>
      <c r="J1119" s="46" t="s">
        <v>3</v>
      </c>
      <c r="K1119" s="36" t="s">
        <v>2416</v>
      </c>
    </row>
    <row r="1120" spans="1:11" ht="45" x14ac:dyDescent="0.25">
      <c r="A1120" s="1"/>
      <c r="B1120" s="36">
        <v>1141</v>
      </c>
      <c r="C1120" s="36" t="s">
        <v>736</v>
      </c>
      <c r="D1120" s="36" t="s">
        <v>1156</v>
      </c>
      <c r="E1120" s="36">
        <v>260</v>
      </c>
      <c r="F1120" s="39">
        <v>260</v>
      </c>
      <c r="G1120" s="39" t="s">
        <v>2414</v>
      </c>
      <c r="H1120" s="39" t="s">
        <v>56</v>
      </c>
      <c r="I1120" s="39" t="s">
        <v>24</v>
      </c>
      <c r="J1120" s="46" t="s">
        <v>3</v>
      </c>
      <c r="K1120" s="36" t="s">
        <v>2417</v>
      </c>
    </row>
    <row r="1121" spans="1:11" ht="45" x14ac:dyDescent="0.25">
      <c r="A1121" s="1"/>
      <c r="B1121" s="36">
        <v>1143</v>
      </c>
      <c r="C1121" s="36" t="s">
        <v>783</v>
      </c>
      <c r="D1121" s="36" t="s">
        <v>108</v>
      </c>
      <c r="E1121" s="36">
        <v>50</v>
      </c>
      <c r="F1121" s="39">
        <v>50</v>
      </c>
      <c r="G1121" s="39" t="s">
        <v>2414</v>
      </c>
      <c r="H1121" s="39" t="s">
        <v>56</v>
      </c>
      <c r="I1121" s="39" t="s">
        <v>24</v>
      </c>
      <c r="J1121" s="46" t="s">
        <v>3</v>
      </c>
      <c r="K1121" s="36" t="s">
        <v>2418</v>
      </c>
    </row>
    <row r="1122" spans="1:11" ht="45" x14ac:dyDescent="0.25">
      <c r="A1122" s="1"/>
      <c r="B1122" s="36">
        <v>1144</v>
      </c>
      <c r="C1122" s="36" t="s">
        <v>744</v>
      </c>
      <c r="D1122" s="36" t="s">
        <v>108</v>
      </c>
      <c r="E1122" s="36">
        <v>50</v>
      </c>
      <c r="F1122" s="39">
        <v>50</v>
      </c>
      <c r="G1122" s="39" t="s">
        <v>2414</v>
      </c>
      <c r="H1122" s="39" t="s">
        <v>56</v>
      </c>
      <c r="I1122" s="39" t="s">
        <v>24</v>
      </c>
      <c r="J1122" s="46" t="s">
        <v>3</v>
      </c>
      <c r="K1122" s="36" t="s">
        <v>2419</v>
      </c>
    </row>
    <row r="1123" spans="1:11" ht="45" x14ac:dyDescent="0.25">
      <c r="A1123" s="1"/>
      <c r="B1123" s="36">
        <v>1146</v>
      </c>
      <c r="C1123" s="36" t="s">
        <v>2380</v>
      </c>
      <c r="D1123" s="36" t="s">
        <v>108</v>
      </c>
      <c r="E1123" s="36">
        <v>38.5</v>
      </c>
      <c r="F1123" s="39">
        <v>60</v>
      </c>
      <c r="G1123" s="39" t="s">
        <v>2414</v>
      </c>
      <c r="H1123" s="39" t="s">
        <v>56</v>
      </c>
      <c r="I1123" s="39" t="s">
        <v>24</v>
      </c>
      <c r="J1123" s="46" t="s">
        <v>3</v>
      </c>
      <c r="K1123" s="36" t="s">
        <v>2420</v>
      </c>
    </row>
    <row r="1124" spans="1:11" ht="45" x14ac:dyDescent="0.25">
      <c r="A1124" s="1"/>
      <c r="B1124" s="36">
        <v>1147</v>
      </c>
      <c r="C1124" s="36" t="s">
        <v>1603</v>
      </c>
      <c r="D1124" s="36" t="s">
        <v>110</v>
      </c>
      <c r="E1124" s="36" t="s">
        <v>2615</v>
      </c>
      <c r="F1124" s="39">
        <v>1920</v>
      </c>
      <c r="G1124" s="39" t="s">
        <v>2414</v>
      </c>
      <c r="H1124" s="39" t="s">
        <v>56</v>
      </c>
      <c r="I1124" s="39" t="s">
        <v>24</v>
      </c>
      <c r="J1124" s="46" t="s">
        <v>3</v>
      </c>
      <c r="K1124" s="36" t="s">
        <v>2421</v>
      </c>
    </row>
    <row r="1125" spans="1:11" ht="45" x14ac:dyDescent="0.25">
      <c r="A1125" s="1"/>
      <c r="B1125" s="36">
        <v>1148</v>
      </c>
      <c r="C1125" s="36" t="s">
        <v>1603</v>
      </c>
      <c r="D1125" s="36" t="s">
        <v>232</v>
      </c>
      <c r="E1125" s="36" t="s">
        <v>2615</v>
      </c>
      <c r="F1125" s="39">
        <v>1920</v>
      </c>
      <c r="G1125" s="39" t="s">
        <v>2414</v>
      </c>
      <c r="H1125" s="39" t="s">
        <v>56</v>
      </c>
      <c r="I1125" s="39" t="s">
        <v>24</v>
      </c>
      <c r="J1125" s="46" t="s">
        <v>3</v>
      </c>
      <c r="K1125" s="36" t="s">
        <v>2422</v>
      </c>
    </row>
    <row r="1126" spans="1:11" ht="45" x14ac:dyDescent="0.25">
      <c r="A1126" s="1"/>
      <c r="B1126" s="36">
        <v>1149</v>
      </c>
      <c r="C1126" s="36" t="s">
        <v>2381</v>
      </c>
      <c r="D1126" s="36" t="s">
        <v>1156</v>
      </c>
      <c r="E1126" s="36">
        <v>300</v>
      </c>
      <c r="F1126" s="39">
        <v>300</v>
      </c>
      <c r="G1126" s="39" t="s">
        <v>2414</v>
      </c>
      <c r="H1126" s="39" t="s">
        <v>56</v>
      </c>
      <c r="I1126" s="39" t="s">
        <v>24</v>
      </c>
      <c r="J1126" s="46" t="s">
        <v>3</v>
      </c>
      <c r="K1126" s="36" t="s">
        <v>2423</v>
      </c>
    </row>
    <row r="1127" spans="1:11" ht="45" x14ac:dyDescent="0.25">
      <c r="A1127" s="1"/>
      <c r="B1127" s="36">
        <v>1150</v>
      </c>
      <c r="C1127" s="36" t="s">
        <v>863</v>
      </c>
      <c r="D1127" s="36" t="s">
        <v>1156</v>
      </c>
      <c r="E1127" s="36">
        <v>490</v>
      </c>
      <c r="F1127" s="39">
        <v>490</v>
      </c>
      <c r="G1127" s="39" t="s">
        <v>2414</v>
      </c>
      <c r="H1127" s="39" t="s">
        <v>56</v>
      </c>
      <c r="I1127" s="39" t="s">
        <v>24</v>
      </c>
      <c r="J1127" s="46" t="s">
        <v>3</v>
      </c>
      <c r="K1127" s="36" t="s">
        <v>2424</v>
      </c>
    </row>
    <row r="1128" spans="1:11" ht="45" x14ac:dyDescent="0.25">
      <c r="A1128" s="1"/>
      <c r="B1128" s="36">
        <v>1151</v>
      </c>
      <c r="C1128" s="36" t="s">
        <v>1822</v>
      </c>
      <c r="D1128" s="36" t="s">
        <v>108</v>
      </c>
      <c r="E1128" s="36">
        <f>220+50</f>
        <v>270</v>
      </c>
      <c r="F1128" s="39">
        <v>7000</v>
      </c>
      <c r="G1128" s="39" t="s">
        <v>2414</v>
      </c>
      <c r="H1128" s="39" t="s">
        <v>56</v>
      </c>
      <c r="I1128" s="39" t="s">
        <v>24</v>
      </c>
      <c r="J1128" s="46" t="s">
        <v>3</v>
      </c>
      <c r="K1128" s="36" t="s">
        <v>2425</v>
      </c>
    </row>
    <row r="1129" spans="1:11" ht="45" x14ac:dyDescent="0.25">
      <c r="A1129" s="1"/>
      <c r="B1129" s="36">
        <v>1152</v>
      </c>
      <c r="C1129" s="36" t="s">
        <v>2382</v>
      </c>
      <c r="D1129" s="36" t="s">
        <v>108</v>
      </c>
      <c r="E1129" s="36">
        <v>100</v>
      </c>
      <c r="F1129" s="39">
        <v>100</v>
      </c>
      <c r="G1129" s="39" t="s">
        <v>2414</v>
      </c>
      <c r="H1129" s="39" t="s">
        <v>56</v>
      </c>
      <c r="I1129" s="39" t="s">
        <v>24</v>
      </c>
      <c r="J1129" s="46" t="s">
        <v>3</v>
      </c>
      <c r="K1129" s="36" t="s">
        <v>2426</v>
      </c>
    </row>
    <row r="1130" spans="1:11" ht="45" x14ac:dyDescent="0.25">
      <c r="A1130" s="1"/>
      <c r="B1130" s="36">
        <v>1153</v>
      </c>
      <c r="C1130" s="36" t="s">
        <v>896</v>
      </c>
      <c r="D1130" s="36" t="s">
        <v>108</v>
      </c>
      <c r="E1130" s="36">
        <v>118.45</v>
      </c>
      <c r="F1130" s="39">
        <v>120</v>
      </c>
      <c r="G1130" s="39" t="s">
        <v>2414</v>
      </c>
      <c r="H1130" s="39" t="s">
        <v>56</v>
      </c>
      <c r="I1130" s="39" t="s">
        <v>24</v>
      </c>
      <c r="J1130" s="46" t="s">
        <v>3</v>
      </c>
      <c r="K1130" s="36" t="s">
        <v>2427</v>
      </c>
    </row>
    <row r="1131" spans="1:11" ht="45" x14ac:dyDescent="0.25">
      <c r="A1131" s="1"/>
      <c r="B1131" s="36">
        <v>1156</v>
      </c>
      <c r="C1131" s="36" t="s">
        <v>1913</v>
      </c>
      <c r="D1131" s="36" t="s">
        <v>110</v>
      </c>
      <c r="E1131" s="36" t="s">
        <v>2622</v>
      </c>
      <c r="F1131" s="39">
        <v>1800</v>
      </c>
      <c r="G1131" s="39" t="s">
        <v>2414</v>
      </c>
      <c r="H1131" s="39" t="s">
        <v>56</v>
      </c>
      <c r="I1131" s="39" t="s">
        <v>24</v>
      </c>
      <c r="J1131" s="46" t="s">
        <v>3</v>
      </c>
      <c r="K1131" s="36" t="s">
        <v>2428</v>
      </c>
    </row>
    <row r="1132" spans="1:11" ht="45" x14ac:dyDescent="0.25">
      <c r="A1132" s="1"/>
      <c r="B1132" s="36">
        <v>1157</v>
      </c>
      <c r="C1132" s="36" t="s">
        <v>2383</v>
      </c>
      <c r="D1132" s="36" t="s">
        <v>108</v>
      </c>
      <c r="E1132" s="36">
        <v>120</v>
      </c>
      <c r="F1132" s="39">
        <v>120</v>
      </c>
      <c r="G1132" s="39" t="s">
        <v>2414</v>
      </c>
      <c r="H1132" s="39" t="s">
        <v>56</v>
      </c>
      <c r="I1132" s="39" t="s">
        <v>24</v>
      </c>
      <c r="J1132" s="46" t="s">
        <v>3</v>
      </c>
      <c r="K1132" s="36" t="s">
        <v>2429</v>
      </c>
    </row>
    <row r="1133" spans="1:11" ht="45" x14ac:dyDescent="0.25">
      <c r="A1133" s="1"/>
      <c r="B1133" s="36">
        <v>1159</v>
      </c>
      <c r="C1133" s="36" t="s">
        <v>2380</v>
      </c>
      <c r="D1133" s="36" t="s">
        <v>108</v>
      </c>
      <c r="E1133" s="36">
        <v>70.400000000000006</v>
      </c>
      <c r="F1133" s="39">
        <v>120</v>
      </c>
      <c r="G1133" s="39" t="s">
        <v>2414</v>
      </c>
      <c r="H1133" s="39" t="s">
        <v>56</v>
      </c>
      <c r="I1133" s="39" t="s">
        <v>24</v>
      </c>
      <c r="J1133" s="46" t="s">
        <v>3</v>
      </c>
      <c r="K1133" s="36" t="s">
        <v>2430</v>
      </c>
    </row>
    <row r="1134" spans="1:11" ht="45" x14ac:dyDescent="0.25">
      <c r="A1134" s="1"/>
      <c r="B1134" s="36">
        <v>1161</v>
      </c>
      <c r="C1134" s="36" t="s">
        <v>896</v>
      </c>
      <c r="D1134" s="36" t="s">
        <v>108</v>
      </c>
      <c r="E1134" s="36">
        <v>57.5</v>
      </c>
      <c r="F1134" s="39">
        <v>60</v>
      </c>
      <c r="G1134" s="39" t="s">
        <v>2414</v>
      </c>
      <c r="H1134" s="39" t="s">
        <v>56</v>
      </c>
      <c r="I1134" s="39" t="s">
        <v>24</v>
      </c>
      <c r="J1134" s="46" t="s">
        <v>3</v>
      </c>
      <c r="K1134" s="36" t="s">
        <v>2431</v>
      </c>
    </row>
    <row r="1135" spans="1:11" ht="45" x14ac:dyDescent="0.25">
      <c r="A1135" s="1"/>
      <c r="B1135" s="36">
        <v>1162</v>
      </c>
      <c r="C1135" s="36" t="s">
        <v>2384</v>
      </c>
      <c r="D1135" s="36" t="s">
        <v>108</v>
      </c>
      <c r="E1135" s="36">
        <v>100</v>
      </c>
      <c r="F1135" s="39">
        <v>100</v>
      </c>
      <c r="G1135" s="39" t="s">
        <v>2414</v>
      </c>
      <c r="H1135" s="39" t="s">
        <v>56</v>
      </c>
      <c r="I1135" s="39" t="s">
        <v>24</v>
      </c>
      <c r="J1135" s="46" t="s">
        <v>3</v>
      </c>
      <c r="K1135" s="36" t="s">
        <v>2432</v>
      </c>
    </row>
    <row r="1136" spans="1:11" ht="45" x14ac:dyDescent="0.25">
      <c r="A1136" s="1"/>
      <c r="B1136" s="36">
        <v>1163</v>
      </c>
      <c r="C1136" s="36" t="s">
        <v>273</v>
      </c>
      <c r="D1136" s="36" t="s">
        <v>232</v>
      </c>
      <c r="E1136" s="36" t="s">
        <v>2692</v>
      </c>
      <c r="F1136" s="39">
        <v>2287.5</v>
      </c>
      <c r="G1136" s="39" t="s">
        <v>2414</v>
      </c>
      <c r="H1136" s="39" t="s">
        <v>56</v>
      </c>
      <c r="I1136" s="39" t="s">
        <v>24</v>
      </c>
      <c r="J1136" s="46" t="s">
        <v>3</v>
      </c>
      <c r="K1136" s="36" t="s">
        <v>2433</v>
      </c>
    </row>
    <row r="1137" spans="1:11" ht="45" x14ac:dyDescent="0.25">
      <c r="A1137" s="1"/>
      <c r="B1137" s="36">
        <v>1164</v>
      </c>
      <c r="C1137" s="36" t="s">
        <v>736</v>
      </c>
      <c r="D1137" s="36" t="s">
        <v>1156</v>
      </c>
      <c r="E1137" s="36">
        <v>130</v>
      </c>
      <c r="F1137" s="39">
        <v>130</v>
      </c>
      <c r="G1137" s="39" t="s">
        <v>2434</v>
      </c>
      <c r="H1137" s="39" t="s">
        <v>56</v>
      </c>
      <c r="I1137" s="39" t="s">
        <v>24</v>
      </c>
      <c r="J1137" s="51" t="s">
        <v>3</v>
      </c>
      <c r="K1137" s="36" t="s">
        <v>2698</v>
      </c>
    </row>
    <row r="1138" spans="1:11" ht="90" x14ac:dyDescent="0.25">
      <c r="A1138" s="1"/>
      <c r="B1138" s="36">
        <v>1165</v>
      </c>
      <c r="C1138" s="75" t="s">
        <v>2385</v>
      </c>
      <c r="D1138" s="36" t="s">
        <v>2386</v>
      </c>
      <c r="E1138" s="36" t="s">
        <v>2605</v>
      </c>
      <c r="F1138" s="39">
        <v>37730</v>
      </c>
      <c r="G1138" s="39" t="s">
        <v>2435</v>
      </c>
      <c r="H1138" s="39" t="s">
        <v>56</v>
      </c>
      <c r="I1138" s="39" t="s">
        <v>24</v>
      </c>
      <c r="J1138" s="51" t="s">
        <v>398</v>
      </c>
      <c r="K1138" s="36" t="s">
        <v>2436</v>
      </c>
    </row>
    <row r="1139" spans="1:11" ht="45" x14ac:dyDescent="0.25">
      <c r="A1139" s="1"/>
      <c r="B1139" s="36">
        <v>1166</v>
      </c>
      <c r="C1139" s="36" t="s">
        <v>109</v>
      </c>
      <c r="D1139" s="36" t="s">
        <v>110</v>
      </c>
      <c r="E1139" s="36" t="s">
        <v>2691</v>
      </c>
      <c r="F1139" s="39">
        <v>3000</v>
      </c>
      <c r="G1139" s="39" t="s">
        <v>2435</v>
      </c>
      <c r="H1139" s="39" t="s">
        <v>56</v>
      </c>
      <c r="I1139" s="39" t="s">
        <v>24</v>
      </c>
      <c r="J1139" s="51" t="s">
        <v>3</v>
      </c>
      <c r="K1139" s="36" t="s">
        <v>2689</v>
      </c>
    </row>
    <row r="1140" spans="1:11" ht="45" x14ac:dyDescent="0.25">
      <c r="A1140" s="1"/>
      <c r="B1140" s="36">
        <v>1167</v>
      </c>
      <c r="C1140" s="36" t="s">
        <v>246</v>
      </c>
      <c r="D1140" s="36" t="s">
        <v>232</v>
      </c>
      <c r="E1140" s="36">
        <v>950</v>
      </c>
      <c r="F1140" s="39">
        <v>950</v>
      </c>
      <c r="G1140" s="39" t="s">
        <v>2435</v>
      </c>
      <c r="H1140" s="39" t="s">
        <v>56</v>
      </c>
      <c r="I1140" s="39" t="s">
        <v>24</v>
      </c>
      <c r="J1140" s="51" t="s">
        <v>3</v>
      </c>
      <c r="K1140" s="36" t="s">
        <v>2690</v>
      </c>
    </row>
    <row r="1141" spans="1:11" ht="33.75" x14ac:dyDescent="0.25">
      <c r="A1141" s="1"/>
      <c r="B1141" s="36">
        <v>1168</v>
      </c>
      <c r="C1141" s="36" t="s">
        <v>2387</v>
      </c>
      <c r="D1141" s="36" t="s">
        <v>2388</v>
      </c>
      <c r="E1141" s="39">
        <v>44449</v>
      </c>
      <c r="F1141" s="39">
        <v>44449</v>
      </c>
      <c r="G1141" s="39" t="s">
        <v>2435</v>
      </c>
      <c r="H1141" s="39" t="s">
        <v>56</v>
      </c>
      <c r="I1141" s="39" t="s">
        <v>24</v>
      </c>
      <c r="J1141" s="46" t="s">
        <v>2437</v>
      </c>
      <c r="K1141" s="36"/>
    </row>
    <row r="1142" spans="1:11" ht="45" x14ac:dyDescent="0.25">
      <c r="A1142" s="1"/>
      <c r="B1142" s="36">
        <v>1169</v>
      </c>
      <c r="C1142" s="36" t="s">
        <v>272</v>
      </c>
      <c r="D1142" s="36" t="s">
        <v>110</v>
      </c>
      <c r="E1142" s="36" t="s">
        <v>2826</v>
      </c>
      <c r="F1142" s="39">
        <v>3960</v>
      </c>
      <c r="G1142" s="39" t="s">
        <v>2435</v>
      </c>
      <c r="H1142" s="39" t="s">
        <v>56</v>
      </c>
      <c r="I1142" s="39" t="s">
        <v>24</v>
      </c>
      <c r="J1142" s="51" t="s">
        <v>3</v>
      </c>
      <c r="K1142" s="36" t="s">
        <v>2438</v>
      </c>
    </row>
    <row r="1143" spans="1:11" ht="45" x14ac:dyDescent="0.25">
      <c r="A1143" s="1"/>
      <c r="B1143" s="36">
        <v>1170</v>
      </c>
      <c r="C1143" s="36" t="s">
        <v>1343</v>
      </c>
      <c r="D1143" s="36" t="s">
        <v>110</v>
      </c>
      <c r="E1143" s="36" t="s">
        <v>2700</v>
      </c>
      <c r="F1143" s="39">
        <v>3218.75</v>
      </c>
      <c r="G1143" s="39" t="s">
        <v>2435</v>
      </c>
      <c r="H1143" s="39" t="s">
        <v>56</v>
      </c>
      <c r="I1143" s="39" t="s">
        <v>24</v>
      </c>
      <c r="J1143" s="51" t="s">
        <v>3</v>
      </c>
      <c r="K1143" s="36" t="s">
        <v>2687</v>
      </c>
    </row>
    <row r="1144" spans="1:11" ht="45" x14ac:dyDescent="0.25">
      <c r="A1144" s="1"/>
      <c r="B1144" s="36">
        <v>1171</v>
      </c>
      <c r="C1144" s="36" t="s">
        <v>1343</v>
      </c>
      <c r="D1144" s="36" t="s">
        <v>232</v>
      </c>
      <c r="E1144" s="36" t="s">
        <v>2688</v>
      </c>
      <c r="F1144" s="39">
        <v>2625</v>
      </c>
      <c r="G1144" s="39" t="s">
        <v>2435</v>
      </c>
      <c r="H1144" s="39" t="s">
        <v>56</v>
      </c>
      <c r="I1144" s="39" t="s">
        <v>24</v>
      </c>
      <c r="J1144" s="51" t="s">
        <v>3</v>
      </c>
      <c r="K1144" s="36" t="s">
        <v>2623</v>
      </c>
    </row>
    <row r="1145" spans="1:11" ht="45" x14ac:dyDescent="0.25">
      <c r="A1145" s="1"/>
      <c r="B1145" s="36">
        <v>1172</v>
      </c>
      <c r="C1145" s="36" t="s">
        <v>1321</v>
      </c>
      <c r="D1145" s="36" t="s">
        <v>1156</v>
      </c>
      <c r="E1145" s="36">
        <v>600</v>
      </c>
      <c r="F1145" s="39">
        <v>600</v>
      </c>
      <c r="G1145" s="39" t="s">
        <v>2435</v>
      </c>
      <c r="H1145" s="39" t="s">
        <v>56</v>
      </c>
      <c r="I1145" s="39" t="s">
        <v>24</v>
      </c>
      <c r="J1145" s="51" t="s">
        <v>3</v>
      </c>
      <c r="K1145" s="36" t="s">
        <v>2624</v>
      </c>
    </row>
    <row r="1146" spans="1:11" ht="45" x14ac:dyDescent="0.25">
      <c r="A1146" s="1"/>
      <c r="B1146" s="36">
        <v>1173</v>
      </c>
      <c r="C1146" s="36" t="s">
        <v>1652</v>
      </c>
      <c r="D1146" s="36" t="s">
        <v>108</v>
      </c>
      <c r="E1146" s="36">
        <v>304.75</v>
      </c>
      <c r="F1146" s="39">
        <v>360</v>
      </c>
      <c r="G1146" s="39" t="s">
        <v>2435</v>
      </c>
      <c r="H1146" s="39" t="s">
        <v>56</v>
      </c>
      <c r="I1146" s="39" t="s">
        <v>24</v>
      </c>
      <c r="J1146" s="51" t="s">
        <v>3</v>
      </c>
      <c r="K1146" s="36" t="s">
        <v>2625</v>
      </c>
    </row>
    <row r="1147" spans="1:11" ht="45" x14ac:dyDescent="0.25">
      <c r="A1147" s="1"/>
      <c r="B1147" s="36">
        <v>1174</v>
      </c>
      <c r="C1147" s="36" t="s">
        <v>2389</v>
      </c>
      <c r="D1147" s="36" t="s">
        <v>108</v>
      </c>
      <c r="E1147" s="36">
        <v>210</v>
      </c>
      <c r="F1147" s="39">
        <v>300</v>
      </c>
      <c r="G1147" s="39" t="s">
        <v>2435</v>
      </c>
      <c r="H1147" s="39" t="s">
        <v>56</v>
      </c>
      <c r="I1147" s="39" t="s">
        <v>24</v>
      </c>
      <c r="J1147" s="51" t="s">
        <v>3</v>
      </c>
      <c r="K1147" s="36" t="s">
        <v>2626</v>
      </c>
    </row>
    <row r="1148" spans="1:11" ht="45" x14ac:dyDescent="0.25">
      <c r="A1148" s="1"/>
      <c r="B1148" s="36">
        <v>1175</v>
      </c>
      <c r="C1148" s="36" t="s">
        <v>235</v>
      </c>
      <c r="D1148" s="36" t="s">
        <v>108</v>
      </c>
      <c r="E1148" s="36">
        <v>356</v>
      </c>
      <c r="F1148" s="39">
        <v>360</v>
      </c>
      <c r="G1148" s="39" t="s">
        <v>2435</v>
      </c>
      <c r="H1148" s="39" t="s">
        <v>56</v>
      </c>
      <c r="I1148" s="39" t="s">
        <v>24</v>
      </c>
      <c r="J1148" s="51" t="s">
        <v>3</v>
      </c>
      <c r="K1148" s="36" t="s">
        <v>2627</v>
      </c>
    </row>
    <row r="1149" spans="1:11" ht="45" x14ac:dyDescent="0.25">
      <c r="A1149" s="1"/>
      <c r="B1149" s="36">
        <v>1177</v>
      </c>
      <c r="C1149" s="36" t="s">
        <v>897</v>
      </c>
      <c r="D1149" s="36" t="s">
        <v>232</v>
      </c>
      <c r="E1149" s="36" t="s">
        <v>2822</v>
      </c>
      <c r="F1149" s="39">
        <v>1945</v>
      </c>
      <c r="G1149" s="39" t="s">
        <v>2439</v>
      </c>
      <c r="H1149" s="39" t="s">
        <v>56</v>
      </c>
      <c r="I1149" s="39" t="s">
        <v>24</v>
      </c>
      <c r="J1149" s="51" t="s">
        <v>3</v>
      </c>
      <c r="K1149" s="36" t="s">
        <v>2628</v>
      </c>
    </row>
    <row r="1150" spans="1:11" ht="45" x14ac:dyDescent="0.25">
      <c r="A1150" s="1"/>
      <c r="B1150" s="36">
        <v>1178</v>
      </c>
      <c r="C1150" s="36" t="s">
        <v>272</v>
      </c>
      <c r="D1150" s="36" t="s">
        <v>110</v>
      </c>
      <c r="E1150" s="36" t="s">
        <v>2829</v>
      </c>
      <c r="F1150" s="39">
        <v>3380</v>
      </c>
      <c r="G1150" s="39" t="s">
        <v>2439</v>
      </c>
      <c r="H1150" s="39" t="s">
        <v>56</v>
      </c>
      <c r="I1150" s="39" t="s">
        <v>24</v>
      </c>
      <c r="J1150" s="51" t="s">
        <v>3</v>
      </c>
      <c r="K1150" s="36" t="s">
        <v>2629</v>
      </c>
    </row>
    <row r="1151" spans="1:11" ht="45" x14ac:dyDescent="0.25">
      <c r="A1151" s="1"/>
      <c r="B1151" s="36">
        <v>1179</v>
      </c>
      <c r="C1151" s="36" t="s">
        <v>1903</v>
      </c>
      <c r="D1151" s="36" t="s">
        <v>278</v>
      </c>
      <c r="E1151" s="36" t="s">
        <v>2695</v>
      </c>
      <c r="F1151" s="39">
        <v>2552</v>
      </c>
      <c r="G1151" s="39" t="s">
        <v>2439</v>
      </c>
      <c r="H1151" s="39" t="s">
        <v>56</v>
      </c>
      <c r="I1151" s="39" t="s">
        <v>24</v>
      </c>
      <c r="J1151" s="51" t="s">
        <v>3</v>
      </c>
      <c r="K1151" s="36" t="s">
        <v>2630</v>
      </c>
    </row>
    <row r="1152" spans="1:11" ht="45" x14ac:dyDescent="0.25">
      <c r="A1152" s="1"/>
      <c r="B1152" s="36">
        <v>1180</v>
      </c>
      <c r="C1152" s="36" t="s">
        <v>277</v>
      </c>
      <c r="D1152" s="36" t="s">
        <v>278</v>
      </c>
      <c r="E1152" s="36" t="s">
        <v>2696</v>
      </c>
      <c r="F1152" s="39">
        <v>22989</v>
      </c>
      <c r="G1152" s="39" t="s">
        <v>2439</v>
      </c>
      <c r="H1152" s="39" t="s">
        <v>56</v>
      </c>
      <c r="I1152" s="39" t="s">
        <v>24</v>
      </c>
      <c r="J1152" s="51" t="s">
        <v>3</v>
      </c>
      <c r="K1152" s="36" t="s">
        <v>2631</v>
      </c>
    </row>
    <row r="1153" spans="1:11" ht="45" x14ac:dyDescent="0.25">
      <c r="A1153" s="1"/>
      <c r="B1153" s="36">
        <v>1181</v>
      </c>
      <c r="C1153" s="36" t="s">
        <v>277</v>
      </c>
      <c r="D1153" s="36" t="s">
        <v>278</v>
      </c>
      <c r="E1153" s="36" t="s">
        <v>2693</v>
      </c>
      <c r="F1153" s="39">
        <v>3750</v>
      </c>
      <c r="G1153" s="39" t="s">
        <v>2439</v>
      </c>
      <c r="H1153" s="39" t="s">
        <v>56</v>
      </c>
      <c r="I1153" s="39" t="s">
        <v>24</v>
      </c>
      <c r="J1153" s="51" t="s">
        <v>3</v>
      </c>
      <c r="K1153" s="36" t="s">
        <v>2632</v>
      </c>
    </row>
    <row r="1154" spans="1:11" ht="45" x14ac:dyDescent="0.25">
      <c r="A1154" s="1"/>
      <c r="B1154" s="36">
        <v>1182</v>
      </c>
      <c r="C1154" s="36" t="s">
        <v>470</v>
      </c>
      <c r="D1154" s="36" t="s">
        <v>2390</v>
      </c>
      <c r="E1154" s="36">
        <v>500</v>
      </c>
      <c r="F1154" s="39">
        <v>500</v>
      </c>
      <c r="G1154" s="39" t="s">
        <v>2439</v>
      </c>
      <c r="H1154" s="39" t="s">
        <v>56</v>
      </c>
      <c r="I1154" s="39" t="s">
        <v>24</v>
      </c>
      <c r="J1154" s="51" t="s">
        <v>3</v>
      </c>
      <c r="K1154" s="36" t="s">
        <v>2633</v>
      </c>
    </row>
    <row r="1155" spans="1:11" ht="11.25" x14ac:dyDescent="0.25">
      <c r="A1155" s="1"/>
      <c r="B1155" s="36">
        <v>1183</v>
      </c>
      <c r="C1155" s="36" t="s">
        <v>1155</v>
      </c>
      <c r="D1155" s="36" t="s">
        <v>2391</v>
      </c>
      <c r="E1155" s="36" t="s">
        <v>2619</v>
      </c>
      <c r="F1155" s="39">
        <v>1117.5</v>
      </c>
      <c r="G1155" s="39" t="s">
        <v>2440</v>
      </c>
      <c r="H1155" s="39" t="s">
        <v>56</v>
      </c>
      <c r="I1155" s="39" t="s">
        <v>7</v>
      </c>
      <c r="J1155" s="46" t="s">
        <v>2441</v>
      </c>
      <c r="K1155" s="36" t="s">
        <v>2442</v>
      </c>
    </row>
    <row r="1156" spans="1:11" ht="45.75" x14ac:dyDescent="0.25">
      <c r="A1156" s="1"/>
      <c r="B1156" s="36">
        <v>1184</v>
      </c>
      <c r="C1156" s="36" t="s">
        <v>2375</v>
      </c>
      <c r="D1156" s="36" t="s">
        <v>2376</v>
      </c>
      <c r="E1156" s="36">
        <v>50</v>
      </c>
      <c r="F1156" s="39">
        <v>50</v>
      </c>
      <c r="G1156" s="39" t="s">
        <v>2440</v>
      </c>
      <c r="H1156" s="39" t="s">
        <v>56</v>
      </c>
      <c r="I1156" s="39" t="s">
        <v>24</v>
      </c>
      <c r="J1156" s="46" t="s">
        <v>6</v>
      </c>
      <c r="K1156" s="36" t="s">
        <v>2634</v>
      </c>
    </row>
    <row r="1157" spans="1:11" ht="45" x14ac:dyDescent="0.25">
      <c r="A1157" s="1"/>
      <c r="B1157" s="36">
        <v>1185</v>
      </c>
      <c r="C1157" s="36" t="s">
        <v>1811</v>
      </c>
      <c r="D1157" s="36" t="s">
        <v>108</v>
      </c>
      <c r="E1157" s="36" t="s">
        <v>2816</v>
      </c>
      <c r="F1157" s="39">
        <v>1400</v>
      </c>
      <c r="G1157" s="39" t="s">
        <v>2440</v>
      </c>
      <c r="H1157" s="39" t="s">
        <v>56</v>
      </c>
      <c r="I1157" s="39" t="s">
        <v>24</v>
      </c>
      <c r="J1157" s="51" t="s">
        <v>3</v>
      </c>
      <c r="K1157" s="36" t="s">
        <v>2635</v>
      </c>
    </row>
    <row r="1158" spans="1:11" ht="45" x14ac:dyDescent="0.25">
      <c r="A1158" s="1"/>
      <c r="B1158" s="36">
        <v>1186</v>
      </c>
      <c r="C1158" s="36" t="s">
        <v>134</v>
      </c>
      <c r="D1158" s="36" t="s">
        <v>108</v>
      </c>
      <c r="E1158" s="36" t="s">
        <v>2697</v>
      </c>
      <c r="F1158" s="39">
        <v>1450</v>
      </c>
      <c r="G1158" s="39" t="s">
        <v>2440</v>
      </c>
      <c r="H1158" s="39" t="s">
        <v>56</v>
      </c>
      <c r="I1158" s="39" t="s">
        <v>24</v>
      </c>
      <c r="J1158" s="51" t="s">
        <v>3</v>
      </c>
      <c r="K1158" s="36" t="s">
        <v>2636</v>
      </c>
    </row>
    <row r="1159" spans="1:11" ht="45" x14ac:dyDescent="0.25">
      <c r="A1159" s="1"/>
      <c r="B1159" s="36">
        <v>1188</v>
      </c>
      <c r="C1159" s="36" t="s">
        <v>316</v>
      </c>
      <c r="D1159" s="36" t="s">
        <v>108</v>
      </c>
      <c r="E1159" s="36">
        <v>30</v>
      </c>
      <c r="F1159" s="39">
        <v>50</v>
      </c>
      <c r="G1159" s="39" t="s">
        <v>2443</v>
      </c>
      <c r="H1159" s="39" t="s">
        <v>56</v>
      </c>
      <c r="I1159" s="39" t="s">
        <v>24</v>
      </c>
      <c r="J1159" s="51" t="s">
        <v>3</v>
      </c>
      <c r="K1159" s="36" t="s">
        <v>2637</v>
      </c>
    </row>
    <row r="1160" spans="1:11" ht="45" x14ac:dyDescent="0.25">
      <c r="A1160" s="1"/>
      <c r="B1160" s="36">
        <v>1189</v>
      </c>
      <c r="C1160" s="36" t="s">
        <v>2392</v>
      </c>
      <c r="D1160" s="36" t="s">
        <v>1156</v>
      </c>
      <c r="E1160" s="36">
        <v>225</v>
      </c>
      <c r="F1160" s="39">
        <v>225</v>
      </c>
      <c r="G1160" s="39" t="s">
        <v>2443</v>
      </c>
      <c r="H1160" s="39" t="s">
        <v>56</v>
      </c>
      <c r="I1160" s="39" t="s">
        <v>24</v>
      </c>
      <c r="J1160" s="51" t="s">
        <v>3</v>
      </c>
      <c r="K1160" s="36" t="s">
        <v>2638</v>
      </c>
    </row>
    <row r="1161" spans="1:11" ht="45" x14ac:dyDescent="0.25">
      <c r="A1161" s="1"/>
      <c r="B1161" s="36">
        <v>1190</v>
      </c>
      <c r="C1161" s="36" t="s">
        <v>2393</v>
      </c>
      <c r="D1161" s="36" t="s">
        <v>108</v>
      </c>
      <c r="E1161" s="36">
        <v>50</v>
      </c>
      <c r="F1161" s="39">
        <v>50</v>
      </c>
      <c r="G1161" s="39" t="s">
        <v>2443</v>
      </c>
      <c r="H1161" s="39" t="s">
        <v>56</v>
      </c>
      <c r="I1161" s="39" t="s">
        <v>24</v>
      </c>
      <c r="J1161" s="51" t="s">
        <v>3</v>
      </c>
      <c r="K1161" s="36" t="s">
        <v>2639</v>
      </c>
    </row>
    <row r="1162" spans="1:11" ht="45" x14ac:dyDescent="0.25">
      <c r="A1162" s="1"/>
      <c r="B1162" s="36">
        <v>1191</v>
      </c>
      <c r="C1162" s="36" t="s">
        <v>2394</v>
      </c>
      <c r="D1162" s="36" t="s">
        <v>108</v>
      </c>
      <c r="E1162" s="36">
        <v>50</v>
      </c>
      <c r="F1162" s="39">
        <v>50</v>
      </c>
      <c r="G1162" s="39" t="s">
        <v>2443</v>
      </c>
      <c r="H1162" s="39" t="s">
        <v>56</v>
      </c>
      <c r="I1162" s="39" t="s">
        <v>24</v>
      </c>
      <c r="J1162" s="51" t="s">
        <v>3</v>
      </c>
      <c r="K1162" s="36" t="s">
        <v>2640</v>
      </c>
    </row>
    <row r="1163" spans="1:11" ht="45" x14ac:dyDescent="0.25">
      <c r="A1163" s="1"/>
      <c r="B1163" s="36">
        <v>1192</v>
      </c>
      <c r="C1163" s="36" t="s">
        <v>1822</v>
      </c>
      <c r="D1163" s="36" t="s">
        <v>108</v>
      </c>
      <c r="E1163" s="36">
        <v>50</v>
      </c>
      <c r="F1163" s="39">
        <v>50</v>
      </c>
      <c r="G1163" s="39" t="s">
        <v>2443</v>
      </c>
      <c r="H1163" s="39" t="s">
        <v>56</v>
      </c>
      <c r="I1163" s="39" t="s">
        <v>24</v>
      </c>
      <c r="J1163" s="51" t="s">
        <v>3</v>
      </c>
      <c r="K1163" s="36" t="s">
        <v>2641</v>
      </c>
    </row>
    <row r="1164" spans="1:11" ht="45" x14ac:dyDescent="0.25">
      <c r="A1164" s="1"/>
      <c r="B1164" s="36">
        <v>1193</v>
      </c>
      <c r="C1164" s="36" t="s">
        <v>2395</v>
      </c>
      <c r="D1164" s="36" t="s">
        <v>108</v>
      </c>
      <c r="E1164" s="36">
        <v>59.12</v>
      </c>
      <c r="F1164" s="39">
        <v>60</v>
      </c>
      <c r="G1164" s="39" t="s">
        <v>2443</v>
      </c>
      <c r="H1164" s="39" t="s">
        <v>56</v>
      </c>
      <c r="I1164" s="39" t="s">
        <v>24</v>
      </c>
      <c r="J1164" s="51" t="s">
        <v>3</v>
      </c>
      <c r="K1164" s="36" t="s">
        <v>2642</v>
      </c>
    </row>
    <row r="1165" spans="1:11" ht="45" x14ac:dyDescent="0.25">
      <c r="A1165" s="1"/>
      <c r="B1165" s="36">
        <v>1194</v>
      </c>
      <c r="C1165" s="36" t="s">
        <v>2395</v>
      </c>
      <c r="D1165" s="36" t="s">
        <v>1156</v>
      </c>
      <c r="E1165" s="36">
        <v>435</v>
      </c>
      <c r="F1165" s="39">
        <v>435</v>
      </c>
      <c r="G1165" s="39" t="s">
        <v>2443</v>
      </c>
      <c r="H1165" s="39" t="s">
        <v>56</v>
      </c>
      <c r="I1165" s="39" t="s">
        <v>24</v>
      </c>
      <c r="J1165" s="51" t="s">
        <v>3</v>
      </c>
      <c r="K1165" s="36" t="s">
        <v>2643</v>
      </c>
    </row>
    <row r="1166" spans="1:11" ht="45" x14ac:dyDescent="0.25">
      <c r="A1166" s="1"/>
      <c r="B1166" s="36">
        <v>1195</v>
      </c>
      <c r="C1166" s="36" t="s">
        <v>1886</v>
      </c>
      <c r="D1166" s="36" t="s">
        <v>108</v>
      </c>
      <c r="E1166" s="36">
        <v>60</v>
      </c>
      <c r="F1166" s="39">
        <v>60</v>
      </c>
      <c r="G1166" s="39" t="s">
        <v>2443</v>
      </c>
      <c r="H1166" s="39" t="s">
        <v>56</v>
      </c>
      <c r="I1166" s="39" t="s">
        <v>24</v>
      </c>
      <c r="J1166" s="51" t="s">
        <v>3</v>
      </c>
      <c r="K1166" s="36" t="s">
        <v>2644</v>
      </c>
    </row>
    <row r="1167" spans="1:11" ht="45" x14ac:dyDescent="0.25">
      <c r="A1167" s="1"/>
      <c r="B1167" s="36">
        <v>1196</v>
      </c>
      <c r="C1167" s="36" t="s">
        <v>1652</v>
      </c>
      <c r="D1167" s="36" t="s">
        <v>108</v>
      </c>
      <c r="E1167" s="36">
        <v>47.72</v>
      </c>
      <c r="F1167" s="39">
        <v>50</v>
      </c>
      <c r="G1167" s="39" t="s">
        <v>2443</v>
      </c>
      <c r="H1167" s="39" t="s">
        <v>56</v>
      </c>
      <c r="I1167" s="39" t="s">
        <v>24</v>
      </c>
      <c r="J1167" s="51" t="s">
        <v>3</v>
      </c>
      <c r="K1167" s="36" t="s">
        <v>2645</v>
      </c>
    </row>
    <row r="1168" spans="1:11" ht="45" x14ac:dyDescent="0.25">
      <c r="A1168" s="1"/>
      <c r="B1168" s="36">
        <v>1197</v>
      </c>
      <c r="C1168" s="36" t="s">
        <v>1330</v>
      </c>
      <c r="D1168" s="36" t="s">
        <v>1156</v>
      </c>
      <c r="E1168" s="36">
        <v>386.45</v>
      </c>
      <c r="F1168" s="39">
        <v>386.45</v>
      </c>
      <c r="G1168" s="39" t="s">
        <v>2443</v>
      </c>
      <c r="H1168" s="39" t="s">
        <v>56</v>
      </c>
      <c r="I1168" s="39" t="s">
        <v>24</v>
      </c>
      <c r="J1168" s="51" t="s">
        <v>3</v>
      </c>
      <c r="K1168" s="36" t="s">
        <v>2646</v>
      </c>
    </row>
    <row r="1169" spans="1:11" ht="45" x14ac:dyDescent="0.25">
      <c r="A1169" s="1"/>
      <c r="B1169" s="36">
        <v>1198</v>
      </c>
      <c r="C1169" s="36" t="s">
        <v>886</v>
      </c>
      <c r="D1169" s="36" t="s">
        <v>110</v>
      </c>
      <c r="E1169" s="36" t="s">
        <v>2819</v>
      </c>
      <c r="F1169" s="39">
        <v>2450</v>
      </c>
      <c r="G1169" s="39" t="s">
        <v>2443</v>
      </c>
      <c r="H1169" s="39" t="s">
        <v>56</v>
      </c>
      <c r="I1169" s="39" t="s">
        <v>24</v>
      </c>
      <c r="J1169" s="51" t="s">
        <v>3</v>
      </c>
      <c r="K1169" s="36" t="s">
        <v>2647</v>
      </c>
    </row>
    <row r="1170" spans="1:11" ht="45" x14ac:dyDescent="0.25">
      <c r="A1170" s="1"/>
      <c r="B1170" s="36">
        <v>1199</v>
      </c>
      <c r="C1170" s="36" t="s">
        <v>886</v>
      </c>
      <c r="D1170" s="36" t="s">
        <v>232</v>
      </c>
      <c r="E1170" s="36" t="s">
        <v>2818</v>
      </c>
      <c r="F1170" s="39">
        <v>2025</v>
      </c>
      <c r="G1170" s="39" t="s">
        <v>2443</v>
      </c>
      <c r="H1170" s="39" t="s">
        <v>56</v>
      </c>
      <c r="I1170" s="39" t="s">
        <v>24</v>
      </c>
      <c r="J1170" s="51" t="s">
        <v>3</v>
      </c>
      <c r="K1170" s="36" t="s">
        <v>2648</v>
      </c>
    </row>
    <row r="1171" spans="1:11" ht="45" x14ac:dyDescent="0.25">
      <c r="A1171" s="1"/>
      <c r="B1171" s="36">
        <v>1200</v>
      </c>
      <c r="C1171" s="36" t="s">
        <v>903</v>
      </c>
      <c r="D1171" s="36" t="s">
        <v>110</v>
      </c>
      <c r="E1171" s="36" t="s">
        <v>2814</v>
      </c>
      <c r="F1171" s="39">
        <v>2400</v>
      </c>
      <c r="G1171" s="39" t="s">
        <v>2443</v>
      </c>
      <c r="H1171" s="39" t="s">
        <v>56</v>
      </c>
      <c r="I1171" s="39" t="s">
        <v>24</v>
      </c>
      <c r="J1171" s="51" t="s">
        <v>3</v>
      </c>
      <c r="K1171" s="36" t="s">
        <v>2649</v>
      </c>
    </row>
    <row r="1172" spans="1:11" ht="45" x14ac:dyDescent="0.25">
      <c r="A1172" s="1"/>
      <c r="B1172" s="36">
        <v>1201</v>
      </c>
      <c r="C1172" s="36" t="s">
        <v>947</v>
      </c>
      <c r="D1172" s="36" t="s">
        <v>1156</v>
      </c>
      <c r="E1172" s="36" t="s">
        <v>2823</v>
      </c>
      <c r="F1172" s="39">
        <v>12011.22</v>
      </c>
      <c r="G1172" s="39" t="s">
        <v>2443</v>
      </c>
      <c r="H1172" s="39" t="s">
        <v>56</v>
      </c>
      <c r="I1172" s="39" t="s">
        <v>24</v>
      </c>
      <c r="J1172" s="51" t="s">
        <v>3</v>
      </c>
      <c r="K1172" s="36" t="s">
        <v>2650</v>
      </c>
    </row>
    <row r="1173" spans="1:11" ht="45.75" x14ac:dyDescent="0.25">
      <c r="A1173" s="1"/>
      <c r="B1173" s="36">
        <v>1202</v>
      </c>
      <c r="C1173" s="36" t="s">
        <v>2396</v>
      </c>
      <c r="D1173" s="36" t="s">
        <v>768</v>
      </c>
      <c r="E1173" s="36" t="s">
        <v>2694</v>
      </c>
      <c r="F1173" s="39">
        <v>3186</v>
      </c>
      <c r="G1173" s="39" t="s">
        <v>2443</v>
      </c>
      <c r="H1173" s="39" t="s">
        <v>56</v>
      </c>
      <c r="I1173" s="39" t="s">
        <v>24</v>
      </c>
      <c r="J1173" s="46" t="s">
        <v>6</v>
      </c>
      <c r="K1173" s="36" t="s">
        <v>2651</v>
      </c>
    </row>
    <row r="1174" spans="1:11" ht="45" x14ac:dyDescent="0.25">
      <c r="A1174" s="1"/>
      <c r="B1174" s="36">
        <v>1203</v>
      </c>
      <c r="C1174" s="36" t="s">
        <v>2397</v>
      </c>
      <c r="D1174" s="36" t="s">
        <v>2398</v>
      </c>
      <c r="E1174" s="36" t="s">
        <v>2703</v>
      </c>
      <c r="F1174" s="39">
        <v>1365.15</v>
      </c>
      <c r="G1174" s="39" t="s">
        <v>2443</v>
      </c>
      <c r="H1174" s="39" t="s">
        <v>56</v>
      </c>
      <c r="I1174" s="39" t="s">
        <v>24</v>
      </c>
      <c r="J1174" s="51" t="s">
        <v>3</v>
      </c>
      <c r="K1174" s="36" t="s">
        <v>2652</v>
      </c>
    </row>
    <row r="1175" spans="1:11" ht="45" x14ac:dyDescent="0.25">
      <c r="A1175" s="1"/>
      <c r="B1175" s="36">
        <v>1204</v>
      </c>
      <c r="C1175" s="36" t="s">
        <v>2399</v>
      </c>
      <c r="D1175" s="36" t="s">
        <v>232</v>
      </c>
      <c r="E1175" s="36" t="s">
        <v>2810</v>
      </c>
      <c r="F1175" s="39">
        <v>1780</v>
      </c>
      <c r="G1175" s="39" t="s">
        <v>2443</v>
      </c>
      <c r="H1175" s="39" t="s">
        <v>56</v>
      </c>
      <c r="I1175" s="39" t="s">
        <v>24</v>
      </c>
      <c r="J1175" s="51" t="s">
        <v>3</v>
      </c>
      <c r="K1175" s="36" t="s">
        <v>2653</v>
      </c>
    </row>
    <row r="1176" spans="1:11" ht="45" x14ac:dyDescent="0.25">
      <c r="A1176" s="1"/>
      <c r="B1176" s="36">
        <v>1205</v>
      </c>
      <c r="C1176" s="36" t="s">
        <v>272</v>
      </c>
      <c r="D1176" s="36" t="s">
        <v>110</v>
      </c>
      <c r="E1176" s="36" t="s">
        <v>2828</v>
      </c>
      <c r="F1176" s="39">
        <v>2230</v>
      </c>
      <c r="G1176" s="39" t="s">
        <v>2443</v>
      </c>
      <c r="H1176" s="39" t="s">
        <v>56</v>
      </c>
      <c r="I1176" s="39" t="s">
        <v>24</v>
      </c>
      <c r="J1176" s="51" t="s">
        <v>3</v>
      </c>
      <c r="K1176" s="36" t="s">
        <v>2654</v>
      </c>
    </row>
    <row r="1177" spans="1:11" ht="45" x14ac:dyDescent="0.25">
      <c r="A1177" s="1"/>
      <c r="B1177" s="36">
        <v>1206</v>
      </c>
      <c r="C1177" s="36" t="s">
        <v>272</v>
      </c>
      <c r="D1177" s="36" t="s">
        <v>110</v>
      </c>
      <c r="E1177" s="36">
        <v>800</v>
      </c>
      <c r="F1177" s="39">
        <v>800</v>
      </c>
      <c r="G1177" s="39" t="s">
        <v>2443</v>
      </c>
      <c r="H1177" s="39" t="s">
        <v>56</v>
      </c>
      <c r="I1177" s="39" t="s">
        <v>24</v>
      </c>
      <c r="J1177" s="51" t="s">
        <v>3</v>
      </c>
      <c r="K1177" s="36" t="s">
        <v>2655</v>
      </c>
    </row>
    <row r="1178" spans="1:11" ht="45" x14ac:dyDescent="0.25">
      <c r="A1178" s="1"/>
      <c r="B1178" s="36">
        <v>1207</v>
      </c>
      <c r="C1178" s="36" t="s">
        <v>277</v>
      </c>
      <c r="D1178" s="36" t="s">
        <v>278</v>
      </c>
      <c r="E1178" s="36" t="s">
        <v>2702</v>
      </c>
      <c r="F1178" s="39">
        <v>15197.8</v>
      </c>
      <c r="G1178" s="39" t="s">
        <v>2443</v>
      </c>
      <c r="H1178" s="39" t="s">
        <v>56</v>
      </c>
      <c r="I1178" s="39" t="s">
        <v>24</v>
      </c>
      <c r="J1178" s="51" t="s">
        <v>3</v>
      </c>
      <c r="K1178" s="36" t="s">
        <v>2656</v>
      </c>
    </row>
    <row r="1179" spans="1:11" ht="45" x14ac:dyDescent="0.25">
      <c r="A1179" s="1"/>
      <c r="B1179" s="36">
        <v>1209</v>
      </c>
      <c r="C1179" s="36" t="s">
        <v>863</v>
      </c>
      <c r="D1179" s="36" t="s">
        <v>108</v>
      </c>
      <c r="E1179" s="36">
        <v>232.1</v>
      </c>
      <c r="F1179" s="39">
        <v>420</v>
      </c>
      <c r="G1179" s="39" t="s">
        <v>2443</v>
      </c>
      <c r="H1179" s="39" t="s">
        <v>56</v>
      </c>
      <c r="I1179" s="39" t="s">
        <v>24</v>
      </c>
      <c r="J1179" s="51" t="s">
        <v>3</v>
      </c>
      <c r="K1179" s="36" t="s">
        <v>2657</v>
      </c>
    </row>
    <row r="1180" spans="1:11" ht="45" x14ac:dyDescent="0.25">
      <c r="A1180" s="1"/>
      <c r="B1180" s="36">
        <v>1210</v>
      </c>
      <c r="C1180" s="36" t="s">
        <v>1659</v>
      </c>
      <c r="D1180" s="36" t="s">
        <v>108</v>
      </c>
      <c r="E1180" s="36">
        <v>300</v>
      </c>
      <c r="F1180" s="39">
        <v>300</v>
      </c>
      <c r="G1180" s="39" t="s">
        <v>2443</v>
      </c>
      <c r="H1180" s="39" t="s">
        <v>56</v>
      </c>
      <c r="I1180" s="39" t="s">
        <v>24</v>
      </c>
      <c r="J1180" s="51" t="s">
        <v>3</v>
      </c>
      <c r="K1180" s="36" t="s">
        <v>2658</v>
      </c>
    </row>
    <row r="1181" spans="1:11" ht="45" x14ac:dyDescent="0.25">
      <c r="A1181" s="1"/>
      <c r="B1181" s="36">
        <v>1211</v>
      </c>
      <c r="C1181" s="36" t="s">
        <v>1652</v>
      </c>
      <c r="D1181" s="36" t="s">
        <v>108</v>
      </c>
      <c r="E1181" s="36" t="s">
        <v>2825</v>
      </c>
      <c r="F1181" s="39">
        <v>5546</v>
      </c>
      <c r="G1181" s="39" t="s">
        <v>2443</v>
      </c>
      <c r="H1181" s="39" t="s">
        <v>56</v>
      </c>
      <c r="I1181" s="39" t="s">
        <v>24</v>
      </c>
      <c r="J1181" s="51" t="s">
        <v>3</v>
      </c>
      <c r="K1181" s="36" t="s">
        <v>2659</v>
      </c>
    </row>
    <row r="1182" spans="1:11" ht="45" x14ac:dyDescent="0.25">
      <c r="A1182" s="1"/>
      <c r="B1182" s="36">
        <v>1212</v>
      </c>
      <c r="C1182" s="36" t="s">
        <v>863</v>
      </c>
      <c r="D1182" s="36" t="s">
        <v>1156</v>
      </c>
      <c r="E1182" s="36">
        <v>925</v>
      </c>
      <c r="F1182" s="39">
        <v>925</v>
      </c>
      <c r="G1182" s="39" t="s">
        <v>2443</v>
      </c>
      <c r="H1182" s="39" t="s">
        <v>56</v>
      </c>
      <c r="I1182" s="39" t="s">
        <v>24</v>
      </c>
      <c r="J1182" s="51" t="s">
        <v>3</v>
      </c>
      <c r="K1182" s="36" t="s">
        <v>2660</v>
      </c>
    </row>
    <row r="1183" spans="1:11" ht="45" x14ac:dyDescent="0.25">
      <c r="A1183" s="1"/>
      <c r="B1183" s="36">
        <v>1213</v>
      </c>
      <c r="C1183" s="36" t="s">
        <v>2400</v>
      </c>
      <c r="D1183" s="36" t="s">
        <v>232</v>
      </c>
      <c r="E1183" s="36" t="s">
        <v>2811</v>
      </c>
      <c r="F1183" s="39">
        <v>3750</v>
      </c>
      <c r="G1183" s="39" t="s">
        <v>2443</v>
      </c>
      <c r="H1183" s="39" t="s">
        <v>56</v>
      </c>
      <c r="I1183" s="39" t="s">
        <v>24</v>
      </c>
      <c r="J1183" s="51" t="s">
        <v>3</v>
      </c>
      <c r="K1183" s="36" t="s">
        <v>2661</v>
      </c>
    </row>
    <row r="1184" spans="1:11" ht="45" x14ac:dyDescent="0.25">
      <c r="A1184" s="1"/>
      <c r="B1184" s="36">
        <v>1214</v>
      </c>
      <c r="C1184" s="36" t="s">
        <v>272</v>
      </c>
      <c r="D1184" s="36" t="s">
        <v>110</v>
      </c>
      <c r="E1184" s="36" t="s">
        <v>2824</v>
      </c>
      <c r="F1184" s="39">
        <v>3300</v>
      </c>
      <c r="G1184" s="39" t="s">
        <v>2443</v>
      </c>
      <c r="H1184" s="39" t="s">
        <v>56</v>
      </c>
      <c r="I1184" s="39" t="s">
        <v>24</v>
      </c>
      <c r="J1184" s="51" t="s">
        <v>3</v>
      </c>
      <c r="K1184" s="36" t="s">
        <v>2662</v>
      </c>
    </row>
    <row r="1185" spans="1:11" ht="45" x14ac:dyDescent="0.25">
      <c r="A1185" s="1"/>
      <c r="B1185" s="36">
        <v>1215</v>
      </c>
      <c r="C1185" s="36" t="s">
        <v>1913</v>
      </c>
      <c r="D1185" s="36" t="s">
        <v>110</v>
      </c>
      <c r="E1185" s="36" t="s">
        <v>1117</v>
      </c>
      <c r="F1185" s="39">
        <v>1300</v>
      </c>
      <c r="G1185" s="39" t="s">
        <v>2444</v>
      </c>
      <c r="H1185" s="39" t="s">
        <v>56</v>
      </c>
      <c r="I1185" s="39" t="s">
        <v>24</v>
      </c>
      <c r="J1185" s="51" t="s">
        <v>3</v>
      </c>
      <c r="K1185" s="36" t="s">
        <v>2663</v>
      </c>
    </row>
    <row r="1186" spans="1:11" ht="45" x14ac:dyDescent="0.25">
      <c r="A1186" s="1"/>
      <c r="B1186" s="36">
        <v>1216</v>
      </c>
      <c r="C1186" s="36" t="s">
        <v>264</v>
      </c>
      <c r="D1186" s="62" t="s">
        <v>232</v>
      </c>
      <c r="E1186" s="36" t="s">
        <v>2704</v>
      </c>
      <c r="F1186" s="39">
        <v>1425</v>
      </c>
      <c r="G1186" s="39" t="s">
        <v>2444</v>
      </c>
      <c r="H1186" s="39" t="s">
        <v>56</v>
      </c>
      <c r="I1186" s="39" t="s">
        <v>24</v>
      </c>
      <c r="J1186" s="51" t="s">
        <v>3</v>
      </c>
      <c r="K1186" s="36" t="s">
        <v>2664</v>
      </c>
    </row>
    <row r="1187" spans="1:11" ht="45" x14ac:dyDescent="0.25">
      <c r="A1187" s="1"/>
      <c r="B1187" s="36">
        <v>1217</v>
      </c>
      <c r="C1187" s="36" t="s">
        <v>1652</v>
      </c>
      <c r="D1187" s="36" t="s">
        <v>108</v>
      </c>
      <c r="E1187" s="36">
        <v>149.5</v>
      </c>
      <c r="F1187" s="39">
        <v>150</v>
      </c>
      <c r="G1187" s="39" t="s">
        <v>2444</v>
      </c>
      <c r="H1187" s="39" t="s">
        <v>56</v>
      </c>
      <c r="I1187" s="39" t="s">
        <v>24</v>
      </c>
      <c r="J1187" s="51" t="s">
        <v>3</v>
      </c>
      <c r="K1187" s="36" t="s">
        <v>2665</v>
      </c>
    </row>
    <row r="1188" spans="1:11" ht="45" x14ac:dyDescent="0.25">
      <c r="A1188" s="1"/>
      <c r="B1188" s="36">
        <v>1218</v>
      </c>
      <c r="C1188" s="36" t="s">
        <v>217</v>
      </c>
      <c r="D1188" s="36" t="s">
        <v>108</v>
      </c>
      <c r="E1188" s="36">
        <v>146.30000000000001</v>
      </c>
      <c r="F1188" s="39">
        <v>150</v>
      </c>
      <c r="G1188" s="39" t="s">
        <v>2444</v>
      </c>
      <c r="H1188" s="39" t="s">
        <v>56</v>
      </c>
      <c r="I1188" s="39" t="s">
        <v>24</v>
      </c>
      <c r="J1188" s="51" t="s">
        <v>3</v>
      </c>
      <c r="K1188" s="36" t="s">
        <v>2666</v>
      </c>
    </row>
    <row r="1189" spans="1:11" ht="45" x14ac:dyDescent="0.25">
      <c r="A1189" s="1"/>
      <c r="B1189" s="36">
        <v>1219</v>
      </c>
      <c r="C1189" s="36" t="s">
        <v>2401</v>
      </c>
      <c r="D1189" s="36" t="s">
        <v>108</v>
      </c>
      <c r="E1189" s="36">
        <v>150</v>
      </c>
      <c r="F1189" s="39">
        <v>150</v>
      </c>
      <c r="G1189" s="39" t="s">
        <v>2444</v>
      </c>
      <c r="H1189" s="39" t="s">
        <v>56</v>
      </c>
      <c r="I1189" s="39" t="s">
        <v>24</v>
      </c>
      <c r="J1189" s="51" t="s">
        <v>3</v>
      </c>
      <c r="K1189" s="36" t="s">
        <v>2667</v>
      </c>
    </row>
    <row r="1190" spans="1:11" ht="45" x14ac:dyDescent="0.25">
      <c r="A1190" s="1"/>
      <c r="B1190" s="36">
        <v>1220</v>
      </c>
      <c r="C1190" s="36" t="s">
        <v>1886</v>
      </c>
      <c r="D1190" s="36" t="s">
        <v>108</v>
      </c>
      <c r="E1190" s="36">
        <v>136.85</v>
      </c>
      <c r="F1190" s="39">
        <v>180</v>
      </c>
      <c r="G1190" s="39" t="s">
        <v>2444</v>
      </c>
      <c r="H1190" s="39" t="s">
        <v>56</v>
      </c>
      <c r="I1190" s="39" t="s">
        <v>24</v>
      </c>
      <c r="J1190" s="51" t="s">
        <v>3</v>
      </c>
      <c r="K1190" s="36" t="s">
        <v>2668</v>
      </c>
    </row>
    <row r="1191" spans="1:11" ht="45" x14ac:dyDescent="0.25">
      <c r="A1191" s="1"/>
      <c r="B1191" s="36">
        <v>1222</v>
      </c>
      <c r="C1191" s="36" t="s">
        <v>2402</v>
      </c>
      <c r="D1191" s="36" t="s">
        <v>108</v>
      </c>
      <c r="E1191" s="36">
        <v>597.08000000000004</v>
      </c>
      <c r="F1191" s="39">
        <v>1100</v>
      </c>
      <c r="G1191" s="39" t="s">
        <v>2444</v>
      </c>
      <c r="H1191" s="39" t="s">
        <v>56</v>
      </c>
      <c r="I1191" s="39" t="s">
        <v>24</v>
      </c>
      <c r="J1191" s="51" t="s">
        <v>3</v>
      </c>
      <c r="K1191" s="36" t="s">
        <v>2669</v>
      </c>
    </row>
    <row r="1192" spans="1:11" ht="45" x14ac:dyDescent="0.25">
      <c r="A1192" s="1"/>
      <c r="B1192" s="36">
        <v>1223</v>
      </c>
      <c r="C1192" s="36" t="s">
        <v>273</v>
      </c>
      <c r="D1192" s="36" t="s">
        <v>232</v>
      </c>
      <c r="E1192" s="36">
        <v>150</v>
      </c>
      <c r="F1192" s="39">
        <v>150</v>
      </c>
      <c r="G1192" s="39" t="s">
        <v>2444</v>
      </c>
      <c r="H1192" s="39" t="s">
        <v>56</v>
      </c>
      <c r="I1192" s="39" t="s">
        <v>24</v>
      </c>
      <c r="J1192" s="51" t="s">
        <v>3</v>
      </c>
      <c r="K1192" s="36" t="s">
        <v>2670</v>
      </c>
    </row>
    <row r="1193" spans="1:11" ht="45" x14ac:dyDescent="0.25">
      <c r="A1193" s="1"/>
      <c r="B1193" s="36">
        <v>1224</v>
      </c>
      <c r="C1193" s="36" t="s">
        <v>947</v>
      </c>
      <c r="D1193" s="36" t="s">
        <v>2390</v>
      </c>
      <c r="E1193" s="36" t="s">
        <v>2813</v>
      </c>
      <c r="F1193" s="39">
        <v>2478</v>
      </c>
      <c r="G1193" s="39" t="s">
        <v>2444</v>
      </c>
      <c r="H1193" s="39" t="s">
        <v>56</v>
      </c>
      <c r="I1193" s="39" t="s">
        <v>24</v>
      </c>
      <c r="J1193" s="51" t="s">
        <v>3</v>
      </c>
      <c r="K1193" s="36" t="s">
        <v>2671</v>
      </c>
    </row>
    <row r="1194" spans="1:11" ht="45" x14ac:dyDescent="0.25">
      <c r="A1194" s="1"/>
      <c r="B1194" s="36">
        <v>1225</v>
      </c>
      <c r="C1194" s="36" t="s">
        <v>947</v>
      </c>
      <c r="D1194" s="36" t="s">
        <v>2390</v>
      </c>
      <c r="E1194" s="36" t="s">
        <v>2815</v>
      </c>
      <c r="F1194" s="39">
        <v>6195</v>
      </c>
      <c r="G1194" s="39" t="s">
        <v>2444</v>
      </c>
      <c r="H1194" s="39" t="s">
        <v>56</v>
      </c>
      <c r="I1194" s="39" t="s">
        <v>24</v>
      </c>
      <c r="J1194" s="51" t="s">
        <v>3</v>
      </c>
      <c r="K1194" s="36" t="s">
        <v>2672</v>
      </c>
    </row>
    <row r="1195" spans="1:11" ht="45" x14ac:dyDescent="0.25">
      <c r="A1195" s="1"/>
      <c r="B1195" s="36">
        <v>1226</v>
      </c>
      <c r="C1195" s="36" t="s">
        <v>947</v>
      </c>
      <c r="D1195" s="36" t="s">
        <v>108</v>
      </c>
      <c r="E1195" s="36" t="s">
        <v>2295</v>
      </c>
      <c r="F1195" s="39">
        <v>4000</v>
      </c>
      <c r="G1195" s="39" t="s">
        <v>2444</v>
      </c>
      <c r="H1195" s="39" t="s">
        <v>56</v>
      </c>
      <c r="I1195" s="39" t="s">
        <v>24</v>
      </c>
      <c r="J1195" s="51" t="s">
        <v>3</v>
      </c>
      <c r="K1195" s="36" t="s">
        <v>2673</v>
      </c>
    </row>
    <row r="1196" spans="1:11" ht="45" x14ac:dyDescent="0.25">
      <c r="A1196" s="1"/>
      <c r="B1196" s="36">
        <v>1227</v>
      </c>
      <c r="C1196" s="36" t="s">
        <v>947</v>
      </c>
      <c r="D1196" s="36" t="s">
        <v>108</v>
      </c>
      <c r="E1196" s="36" t="s">
        <v>2295</v>
      </c>
      <c r="F1196" s="39">
        <v>4000</v>
      </c>
      <c r="G1196" s="39" t="s">
        <v>2444</v>
      </c>
      <c r="H1196" s="39" t="s">
        <v>56</v>
      </c>
      <c r="I1196" s="39" t="s">
        <v>24</v>
      </c>
      <c r="J1196" s="51" t="s">
        <v>3</v>
      </c>
      <c r="K1196" s="36" t="s">
        <v>2674</v>
      </c>
    </row>
    <row r="1197" spans="1:11" ht="45" x14ac:dyDescent="0.25">
      <c r="A1197" s="1"/>
      <c r="B1197" s="36">
        <v>1228</v>
      </c>
      <c r="C1197" s="36" t="s">
        <v>201</v>
      </c>
      <c r="D1197" s="36" t="s">
        <v>108</v>
      </c>
      <c r="E1197" s="36" t="s">
        <v>2812</v>
      </c>
      <c r="F1197" s="39" t="s">
        <v>2812</v>
      </c>
      <c r="G1197" s="39" t="s">
        <v>2444</v>
      </c>
      <c r="H1197" s="39" t="s">
        <v>56</v>
      </c>
      <c r="I1197" s="39" t="s">
        <v>24</v>
      </c>
      <c r="J1197" s="51" t="s">
        <v>3</v>
      </c>
      <c r="K1197" s="36" t="s">
        <v>2675</v>
      </c>
    </row>
    <row r="1198" spans="1:11" ht="22.5" x14ac:dyDescent="0.25">
      <c r="A1198" s="1"/>
      <c r="B1198" s="36">
        <v>1229</v>
      </c>
      <c r="C1198" s="36" t="s">
        <v>2403</v>
      </c>
      <c r="D1198" s="36" t="s">
        <v>2404</v>
      </c>
      <c r="E1198" s="36">
        <f>80143.19+47150.55+19472.46+67698.46</f>
        <v>214464.66000000003</v>
      </c>
      <c r="F1198" s="39">
        <v>214465.57</v>
      </c>
      <c r="G1198" s="39" t="s">
        <v>2445</v>
      </c>
      <c r="H1198" s="39" t="s">
        <v>56</v>
      </c>
      <c r="I1198" s="39" t="s">
        <v>9</v>
      </c>
      <c r="J1198" s="36" t="s">
        <v>2446</v>
      </c>
      <c r="K1198" s="36"/>
    </row>
    <row r="1199" spans="1:11" ht="45.75" x14ac:dyDescent="0.25">
      <c r="A1199" s="1"/>
      <c r="B1199" s="36">
        <v>1230</v>
      </c>
      <c r="C1199" s="36" t="s">
        <v>2706</v>
      </c>
      <c r="D1199" s="36" t="s">
        <v>2707</v>
      </c>
      <c r="E1199" s="36" t="s">
        <v>1790</v>
      </c>
      <c r="F1199" s="39">
        <v>2880</v>
      </c>
      <c r="G1199" s="39" t="s">
        <v>2445</v>
      </c>
      <c r="H1199" s="39" t="s">
        <v>56</v>
      </c>
      <c r="I1199" s="39" t="s">
        <v>24</v>
      </c>
      <c r="J1199" s="46" t="s">
        <v>6</v>
      </c>
      <c r="K1199" s="36" t="s">
        <v>2676</v>
      </c>
    </row>
    <row r="1200" spans="1:11" ht="90" x14ac:dyDescent="0.25">
      <c r="A1200" s="1"/>
      <c r="B1200" s="36">
        <v>1231</v>
      </c>
      <c r="C1200" s="36" t="s">
        <v>42</v>
      </c>
      <c r="D1200" s="36" t="s">
        <v>43</v>
      </c>
      <c r="E1200" s="36">
        <v>180</v>
      </c>
      <c r="F1200" s="39">
        <v>180</v>
      </c>
      <c r="G1200" s="39" t="s">
        <v>2445</v>
      </c>
      <c r="H1200" s="39" t="s">
        <v>56</v>
      </c>
      <c r="I1200" s="39" t="s">
        <v>24</v>
      </c>
      <c r="J1200" s="51" t="s">
        <v>25</v>
      </c>
      <c r="K1200" s="36" t="s">
        <v>2677</v>
      </c>
    </row>
    <row r="1201" spans="1:11" ht="45" x14ac:dyDescent="0.25">
      <c r="A1201" s="1"/>
      <c r="B1201" s="36">
        <v>1232</v>
      </c>
      <c r="C1201" s="36" t="s">
        <v>277</v>
      </c>
      <c r="D1201" s="36" t="s">
        <v>278</v>
      </c>
      <c r="E1201" s="36" t="s">
        <v>2835</v>
      </c>
      <c r="F1201" s="39">
        <v>12450</v>
      </c>
      <c r="G1201" s="39" t="s">
        <v>2445</v>
      </c>
      <c r="H1201" s="39" t="s">
        <v>56</v>
      </c>
      <c r="I1201" s="39" t="s">
        <v>24</v>
      </c>
      <c r="J1201" s="51" t="s">
        <v>3</v>
      </c>
      <c r="K1201" s="36" t="s">
        <v>2748</v>
      </c>
    </row>
    <row r="1202" spans="1:11" ht="45.75" x14ac:dyDescent="0.25">
      <c r="A1202" s="1"/>
      <c r="B1202" s="36">
        <v>1233</v>
      </c>
      <c r="C1202" s="36" t="s">
        <v>2708</v>
      </c>
      <c r="D1202" s="36" t="s">
        <v>2709</v>
      </c>
      <c r="E1202" s="36">
        <v>120</v>
      </c>
      <c r="F1202" s="39">
        <v>120</v>
      </c>
      <c r="G1202" s="39" t="s">
        <v>2445</v>
      </c>
      <c r="H1202" s="39" t="s">
        <v>56</v>
      </c>
      <c r="I1202" s="39" t="s">
        <v>24</v>
      </c>
      <c r="J1202" s="46" t="s">
        <v>6</v>
      </c>
      <c r="K1202" s="36" t="s">
        <v>2678</v>
      </c>
    </row>
    <row r="1203" spans="1:11" ht="45" x14ac:dyDescent="0.25">
      <c r="A1203" s="1"/>
      <c r="B1203" s="36">
        <v>1234</v>
      </c>
      <c r="C1203" s="36" t="s">
        <v>2710</v>
      </c>
      <c r="D1203" s="36" t="s">
        <v>108</v>
      </c>
      <c r="E1203" s="36">
        <f>60.3+547.2+387.9</f>
        <v>995.4</v>
      </c>
      <c r="F1203" s="39">
        <v>7000</v>
      </c>
      <c r="G1203" s="39" t="s">
        <v>2749</v>
      </c>
      <c r="H1203" s="39" t="s">
        <v>56</v>
      </c>
      <c r="I1203" s="39" t="s">
        <v>24</v>
      </c>
      <c r="J1203" s="51" t="s">
        <v>3</v>
      </c>
      <c r="K1203" s="36" t="s">
        <v>2750</v>
      </c>
    </row>
    <row r="1204" spans="1:11" ht="45" x14ac:dyDescent="0.25">
      <c r="A1204" s="1"/>
      <c r="B1204" s="36">
        <v>1235</v>
      </c>
      <c r="C1204" s="36" t="s">
        <v>209</v>
      </c>
      <c r="D1204" s="36" t="s">
        <v>110</v>
      </c>
      <c r="E1204" s="36" t="s">
        <v>1750</v>
      </c>
      <c r="F1204" s="39">
        <v>1350</v>
      </c>
      <c r="G1204" s="39" t="s">
        <v>2749</v>
      </c>
      <c r="H1204" s="39" t="s">
        <v>56</v>
      </c>
      <c r="I1204" s="39" t="s">
        <v>24</v>
      </c>
      <c r="J1204" s="51" t="s">
        <v>3</v>
      </c>
      <c r="K1204" s="36" t="s">
        <v>2679</v>
      </c>
    </row>
    <row r="1205" spans="1:11" ht="45" x14ac:dyDescent="0.25">
      <c r="A1205" s="1"/>
      <c r="B1205" s="36">
        <v>1236</v>
      </c>
      <c r="C1205" s="36" t="s">
        <v>323</v>
      </c>
      <c r="D1205" s="36" t="s">
        <v>232</v>
      </c>
      <c r="E1205" s="36" t="s">
        <v>2830</v>
      </c>
      <c r="F1205" s="39">
        <v>1087.5</v>
      </c>
      <c r="G1205" s="39" t="s">
        <v>2749</v>
      </c>
      <c r="H1205" s="39" t="s">
        <v>56</v>
      </c>
      <c r="I1205" s="39" t="s">
        <v>24</v>
      </c>
      <c r="J1205" s="51" t="s">
        <v>3</v>
      </c>
      <c r="K1205" s="36" t="s">
        <v>2680</v>
      </c>
    </row>
    <row r="1206" spans="1:11" ht="45.75" x14ac:dyDescent="0.25">
      <c r="A1206" s="1"/>
      <c r="B1206" s="36">
        <v>1237</v>
      </c>
      <c r="C1206" s="36" t="s">
        <v>2711</v>
      </c>
      <c r="D1206" s="36" t="s">
        <v>2712</v>
      </c>
      <c r="E1206" s="36" t="s">
        <v>2163</v>
      </c>
      <c r="F1206" s="39">
        <v>1200</v>
      </c>
      <c r="G1206" s="39" t="s">
        <v>2751</v>
      </c>
      <c r="H1206" s="39" t="s">
        <v>56</v>
      </c>
      <c r="I1206" s="39" t="s">
        <v>24</v>
      </c>
      <c r="J1206" s="46" t="s">
        <v>6</v>
      </c>
      <c r="K1206" s="36" t="s">
        <v>2846</v>
      </c>
    </row>
    <row r="1207" spans="1:11" ht="45.75" x14ac:dyDescent="0.25">
      <c r="A1207" s="1"/>
      <c r="B1207" s="36">
        <v>1238</v>
      </c>
      <c r="C1207" s="36" t="s">
        <v>901</v>
      </c>
      <c r="D1207" s="36" t="s">
        <v>2713</v>
      </c>
      <c r="E1207" s="36">
        <v>880</v>
      </c>
      <c r="F1207" s="39">
        <v>880</v>
      </c>
      <c r="G1207" s="39" t="s">
        <v>2751</v>
      </c>
      <c r="H1207" s="39" t="s">
        <v>56</v>
      </c>
      <c r="I1207" s="39" t="s">
        <v>24</v>
      </c>
      <c r="J1207" s="46" t="s">
        <v>6</v>
      </c>
      <c r="K1207" s="36" t="s">
        <v>2752</v>
      </c>
    </row>
    <row r="1208" spans="1:11" ht="45.75" x14ac:dyDescent="0.25">
      <c r="A1208" s="1"/>
      <c r="B1208" s="36">
        <v>1239</v>
      </c>
      <c r="C1208" s="36" t="s">
        <v>2714</v>
      </c>
      <c r="D1208" s="36" t="s">
        <v>2715</v>
      </c>
      <c r="E1208" s="36">
        <v>77.92</v>
      </c>
      <c r="F1208" s="39">
        <v>116.3</v>
      </c>
      <c r="G1208" s="39" t="s">
        <v>2751</v>
      </c>
      <c r="H1208" s="39" t="s">
        <v>56</v>
      </c>
      <c r="I1208" s="39" t="s">
        <v>24</v>
      </c>
      <c r="J1208" s="46" t="s">
        <v>6</v>
      </c>
      <c r="K1208" s="36" t="s">
        <v>2753</v>
      </c>
    </row>
    <row r="1209" spans="1:11" ht="45" x14ac:dyDescent="0.25">
      <c r="A1209" s="1"/>
      <c r="B1209" s="36">
        <v>1240</v>
      </c>
      <c r="C1209" s="36" t="s">
        <v>903</v>
      </c>
      <c r="D1209" s="36" t="s">
        <v>110</v>
      </c>
      <c r="E1209" s="36" t="s">
        <v>2843</v>
      </c>
      <c r="F1209" s="39" t="s">
        <v>2843</v>
      </c>
      <c r="G1209" s="39" t="s">
        <v>2751</v>
      </c>
      <c r="H1209" s="39" t="s">
        <v>56</v>
      </c>
      <c r="I1209" s="39" t="s">
        <v>24</v>
      </c>
      <c r="J1209" s="51" t="s">
        <v>3</v>
      </c>
      <c r="K1209" s="36" t="s">
        <v>2681</v>
      </c>
    </row>
    <row r="1210" spans="1:11" ht="45" x14ac:dyDescent="0.25">
      <c r="A1210" s="1"/>
      <c r="B1210" s="36">
        <v>1241</v>
      </c>
      <c r="C1210" s="36" t="s">
        <v>120</v>
      </c>
      <c r="D1210" s="36" t="s">
        <v>2390</v>
      </c>
      <c r="E1210" s="36">
        <v>448.4</v>
      </c>
      <c r="F1210" s="39">
        <v>448.4</v>
      </c>
      <c r="G1210" s="39" t="s">
        <v>2754</v>
      </c>
      <c r="H1210" s="39" t="s">
        <v>56</v>
      </c>
      <c r="I1210" s="39" t="s">
        <v>24</v>
      </c>
      <c r="J1210" s="51" t="s">
        <v>3</v>
      </c>
      <c r="K1210" s="36" t="s">
        <v>2755</v>
      </c>
    </row>
    <row r="1211" spans="1:11" ht="45" x14ac:dyDescent="0.25">
      <c r="A1211" s="1"/>
      <c r="B1211" s="36">
        <v>1242</v>
      </c>
      <c r="C1211" s="36" t="s">
        <v>862</v>
      </c>
      <c r="D1211" s="36" t="s">
        <v>110</v>
      </c>
      <c r="E1211" s="36">
        <v>780</v>
      </c>
      <c r="F1211" s="39">
        <v>780</v>
      </c>
      <c r="G1211" s="39" t="s">
        <v>2754</v>
      </c>
      <c r="H1211" s="39" t="s">
        <v>56</v>
      </c>
      <c r="I1211" s="39" t="s">
        <v>24</v>
      </c>
      <c r="J1211" s="51" t="s">
        <v>3</v>
      </c>
      <c r="K1211" s="36" t="s">
        <v>2756</v>
      </c>
    </row>
    <row r="1212" spans="1:11" ht="45" x14ac:dyDescent="0.25">
      <c r="A1212" s="1"/>
      <c r="B1212" s="36">
        <v>1243</v>
      </c>
      <c r="C1212" s="36" t="s">
        <v>323</v>
      </c>
      <c r="D1212" s="36" t="s">
        <v>232</v>
      </c>
      <c r="E1212" s="36" t="s">
        <v>1204</v>
      </c>
      <c r="F1212" s="39">
        <v>1200</v>
      </c>
      <c r="G1212" s="39" t="s">
        <v>2754</v>
      </c>
      <c r="H1212" s="39" t="s">
        <v>56</v>
      </c>
      <c r="I1212" s="39" t="s">
        <v>24</v>
      </c>
      <c r="J1212" s="51" t="s">
        <v>3</v>
      </c>
      <c r="K1212" s="36" t="s">
        <v>2757</v>
      </c>
    </row>
    <row r="1213" spans="1:11" ht="45" x14ac:dyDescent="0.25">
      <c r="A1213" s="1"/>
      <c r="B1213" s="36">
        <v>1244</v>
      </c>
      <c r="C1213" s="36" t="s">
        <v>1652</v>
      </c>
      <c r="D1213" s="36" t="s">
        <v>108</v>
      </c>
      <c r="E1213" s="36">
        <v>497.95</v>
      </c>
      <c r="F1213" s="39">
        <v>500</v>
      </c>
      <c r="G1213" s="39" t="s">
        <v>2754</v>
      </c>
      <c r="H1213" s="39" t="s">
        <v>56</v>
      </c>
      <c r="I1213" s="39" t="s">
        <v>24</v>
      </c>
      <c r="J1213" s="51" t="s">
        <v>3</v>
      </c>
      <c r="K1213" s="36" t="s">
        <v>2682</v>
      </c>
    </row>
    <row r="1214" spans="1:11" ht="45" x14ac:dyDescent="0.25">
      <c r="A1214" s="1"/>
      <c r="B1214" s="36">
        <v>1245</v>
      </c>
      <c r="C1214" s="36" t="s">
        <v>1652</v>
      </c>
      <c r="D1214" s="36" t="s">
        <v>108</v>
      </c>
      <c r="E1214" s="36">
        <v>153.52000000000001</v>
      </c>
      <c r="F1214" s="39">
        <v>250</v>
      </c>
      <c r="G1214" s="39" t="s">
        <v>2754</v>
      </c>
      <c r="H1214" s="39" t="s">
        <v>56</v>
      </c>
      <c r="I1214" s="39" t="s">
        <v>24</v>
      </c>
      <c r="J1214" s="51" t="s">
        <v>3</v>
      </c>
      <c r="K1214" s="36" t="s">
        <v>2683</v>
      </c>
    </row>
    <row r="1215" spans="1:11" ht="45" x14ac:dyDescent="0.25">
      <c r="A1215" s="1"/>
      <c r="B1215" s="36">
        <v>1246</v>
      </c>
      <c r="C1215" s="36" t="s">
        <v>120</v>
      </c>
      <c r="D1215" s="36" t="s">
        <v>2390</v>
      </c>
      <c r="E1215" s="36">
        <v>448.4</v>
      </c>
      <c r="F1215" s="39">
        <v>448.4</v>
      </c>
      <c r="G1215" s="39" t="s">
        <v>2758</v>
      </c>
      <c r="H1215" s="39" t="s">
        <v>56</v>
      </c>
      <c r="I1215" s="39" t="s">
        <v>24</v>
      </c>
      <c r="J1215" s="51" t="s">
        <v>3</v>
      </c>
      <c r="K1215" s="36" t="s">
        <v>2759</v>
      </c>
    </row>
    <row r="1216" spans="1:11" ht="45" x14ac:dyDescent="0.25">
      <c r="A1216" s="1"/>
      <c r="B1216" s="36">
        <v>1247</v>
      </c>
      <c r="C1216" s="36" t="s">
        <v>903</v>
      </c>
      <c r="D1216" s="36" t="s">
        <v>110</v>
      </c>
      <c r="E1216" s="36" t="s">
        <v>2900</v>
      </c>
      <c r="F1216" s="39">
        <v>4420</v>
      </c>
      <c r="G1216" s="39" t="s">
        <v>2760</v>
      </c>
      <c r="H1216" s="39" t="s">
        <v>56</v>
      </c>
      <c r="I1216" s="39" t="s">
        <v>24</v>
      </c>
      <c r="J1216" s="51" t="s">
        <v>3</v>
      </c>
      <c r="K1216" s="36" t="s">
        <v>2761</v>
      </c>
    </row>
    <row r="1217" spans="1:11" ht="90" x14ac:dyDescent="0.15">
      <c r="A1217" s="1"/>
      <c r="B1217" s="36">
        <v>1248</v>
      </c>
      <c r="C1217" s="36" t="s">
        <v>498</v>
      </c>
      <c r="D1217" s="36" t="s">
        <v>2716</v>
      </c>
      <c r="E1217" s="36" t="s">
        <v>578</v>
      </c>
      <c r="F1217" s="39">
        <v>1500</v>
      </c>
      <c r="G1217" s="39" t="s">
        <v>2762</v>
      </c>
      <c r="H1217" s="39" t="s">
        <v>56</v>
      </c>
      <c r="I1217" s="39" t="s">
        <v>24</v>
      </c>
      <c r="J1217" s="51" t="s">
        <v>398</v>
      </c>
      <c r="K1217" s="73" t="s">
        <v>2684</v>
      </c>
    </row>
    <row r="1218" spans="1:11" ht="90" x14ac:dyDescent="0.25">
      <c r="A1218" s="1"/>
      <c r="B1218" s="36">
        <v>1249</v>
      </c>
      <c r="C1218" s="52" t="s">
        <v>1806</v>
      </c>
      <c r="D1218" s="36" t="s">
        <v>2717</v>
      </c>
      <c r="E1218" s="36" t="s">
        <v>2996</v>
      </c>
      <c r="F1218" s="39">
        <v>12425</v>
      </c>
      <c r="G1218" s="39" t="s">
        <v>2762</v>
      </c>
      <c r="H1218" s="39" t="s">
        <v>56</v>
      </c>
      <c r="I1218" s="39" t="s">
        <v>24</v>
      </c>
      <c r="J1218" s="51" t="s">
        <v>398</v>
      </c>
      <c r="K1218" s="36" t="s">
        <v>2685</v>
      </c>
    </row>
    <row r="1219" spans="1:11" ht="45" x14ac:dyDescent="0.25">
      <c r="A1219" s="1"/>
      <c r="B1219" s="36">
        <v>1250</v>
      </c>
      <c r="C1219" s="36" t="s">
        <v>246</v>
      </c>
      <c r="D1219" s="36" t="s">
        <v>232</v>
      </c>
      <c r="E1219" s="36">
        <v>350</v>
      </c>
      <c r="F1219" s="39">
        <v>350</v>
      </c>
      <c r="G1219" s="39" t="s">
        <v>2762</v>
      </c>
      <c r="H1219" s="39" t="s">
        <v>56</v>
      </c>
      <c r="I1219" s="39" t="s">
        <v>24</v>
      </c>
      <c r="J1219" s="51" t="s">
        <v>3</v>
      </c>
      <c r="K1219" s="36" t="s">
        <v>2763</v>
      </c>
    </row>
    <row r="1220" spans="1:11" ht="45" x14ac:dyDescent="0.25">
      <c r="A1220" s="1"/>
      <c r="B1220" s="36">
        <v>1251</v>
      </c>
      <c r="C1220" s="36" t="s">
        <v>903</v>
      </c>
      <c r="D1220" s="36" t="s">
        <v>110</v>
      </c>
      <c r="E1220" s="36" t="s">
        <v>2832</v>
      </c>
      <c r="F1220" s="39" t="s">
        <v>2832</v>
      </c>
      <c r="G1220" s="39" t="s">
        <v>2762</v>
      </c>
      <c r="H1220" s="39" t="s">
        <v>56</v>
      </c>
      <c r="I1220" s="39" t="s">
        <v>24</v>
      </c>
      <c r="J1220" s="51" t="s">
        <v>3</v>
      </c>
      <c r="K1220" s="36" t="s">
        <v>2764</v>
      </c>
    </row>
    <row r="1221" spans="1:11" ht="45" x14ac:dyDescent="0.25">
      <c r="A1221" s="1"/>
      <c r="B1221" s="36">
        <v>1252</v>
      </c>
      <c r="C1221" s="36" t="s">
        <v>2718</v>
      </c>
      <c r="D1221" s="36" t="s">
        <v>1156</v>
      </c>
      <c r="E1221" s="36" t="s">
        <v>2904</v>
      </c>
      <c r="F1221" s="39">
        <v>1858.5</v>
      </c>
      <c r="G1221" s="39" t="s">
        <v>2762</v>
      </c>
      <c r="H1221" s="39" t="s">
        <v>56</v>
      </c>
      <c r="I1221" s="39" t="s">
        <v>24</v>
      </c>
      <c r="J1221" s="51" t="s">
        <v>3</v>
      </c>
      <c r="K1221" s="36" t="s">
        <v>2765</v>
      </c>
    </row>
    <row r="1222" spans="1:11" ht="45.75" x14ac:dyDescent="0.25">
      <c r="A1222" s="1"/>
      <c r="B1222" s="36">
        <v>1253</v>
      </c>
      <c r="C1222" s="36" t="s">
        <v>2719</v>
      </c>
      <c r="D1222" s="36" t="s">
        <v>2720</v>
      </c>
      <c r="E1222" s="36">
        <v>300</v>
      </c>
      <c r="F1222" s="39">
        <v>300</v>
      </c>
      <c r="G1222" s="39" t="s">
        <v>2766</v>
      </c>
      <c r="H1222" s="39" t="s">
        <v>56</v>
      </c>
      <c r="I1222" s="39" t="s">
        <v>24</v>
      </c>
      <c r="J1222" s="46" t="s">
        <v>6</v>
      </c>
      <c r="K1222" s="36" t="s">
        <v>2767</v>
      </c>
    </row>
    <row r="1223" spans="1:11" ht="45" x14ac:dyDescent="0.25">
      <c r="A1223" s="1"/>
      <c r="B1223" s="36">
        <v>1254</v>
      </c>
      <c r="C1223" s="36" t="s">
        <v>1652</v>
      </c>
      <c r="D1223" s="36" t="s">
        <v>108</v>
      </c>
      <c r="E1223" s="36">
        <v>175.38</v>
      </c>
      <c r="F1223" s="39">
        <v>180</v>
      </c>
      <c r="G1223" s="39" t="s">
        <v>2766</v>
      </c>
      <c r="H1223" s="39" t="s">
        <v>56</v>
      </c>
      <c r="I1223" s="39" t="s">
        <v>24</v>
      </c>
      <c r="J1223" s="51" t="s">
        <v>3</v>
      </c>
      <c r="K1223" s="36" t="s">
        <v>2768</v>
      </c>
    </row>
    <row r="1224" spans="1:11" ht="45" x14ac:dyDescent="0.25">
      <c r="A1224" s="1"/>
      <c r="B1224" s="36">
        <v>1255</v>
      </c>
      <c r="C1224" s="36" t="s">
        <v>109</v>
      </c>
      <c r="D1224" s="36" t="s">
        <v>110</v>
      </c>
      <c r="E1224" s="36">
        <v>900</v>
      </c>
      <c r="F1224" s="39">
        <v>900</v>
      </c>
      <c r="G1224" s="39" t="s">
        <v>2766</v>
      </c>
      <c r="H1224" s="39" t="s">
        <v>56</v>
      </c>
      <c r="I1224" s="39" t="s">
        <v>24</v>
      </c>
      <c r="J1224" s="51" t="s">
        <v>3</v>
      </c>
      <c r="K1224" s="36" t="s">
        <v>2769</v>
      </c>
    </row>
    <row r="1225" spans="1:11" ht="45" x14ac:dyDescent="0.25">
      <c r="A1225" s="1"/>
      <c r="B1225" s="36">
        <v>1256</v>
      </c>
      <c r="C1225" s="36" t="s">
        <v>2721</v>
      </c>
      <c r="D1225" s="36" t="s">
        <v>1156</v>
      </c>
      <c r="E1225" s="36">
        <v>660</v>
      </c>
      <c r="F1225" s="39">
        <v>660</v>
      </c>
      <c r="G1225" s="39" t="s">
        <v>2766</v>
      </c>
      <c r="H1225" s="39" t="s">
        <v>56</v>
      </c>
      <c r="I1225" s="39" t="s">
        <v>24</v>
      </c>
      <c r="J1225" s="51" t="s">
        <v>3</v>
      </c>
      <c r="K1225" s="36" t="s">
        <v>2770</v>
      </c>
    </row>
    <row r="1226" spans="1:11" ht="45" x14ac:dyDescent="0.25">
      <c r="A1226" s="1"/>
      <c r="B1226" s="36">
        <v>1257</v>
      </c>
      <c r="C1226" s="36" t="s">
        <v>2721</v>
      </c>
      <c r="D1226" s="36" t="s">
        <v>108</v>
      </c>
      <c r="E1226" s="36">
        <v>240</v>
      </c>
      <c r="F1226" s="39">
        <v>480</v>
      </c>
      <c r="G1226" s="39" t="s">
        <v>2766</v>
      </c>
      <c r="H1226" s="39" t="s">
        <v>56</v>
      </c>
      <c r="I1226" s="39" t="s">
        <v>24</v>
      </c>
      <c r="J1226" s="51" t="s">
        <v>3</v>
      </c>
      <c r="K1226" s="36" t="s">
        <v>2771</v>
      </c>
    </row>
    <row r="1227" spans="1:11" ht="90" x14ac:dyDescent="0.25">
      <c r="A1227" s="1"/>
      <c r="B1227" s="36">
        <v>1258</v>
      </c>
      <c r="C1227" s="36" t="s">
        <v>1927</v>
      </c>
      <c r="D1227" s="36" t="s">
        <v>2722</v>
      </c>
      <c r="E1227" s="36" t="s">
        <v>2831</v>
      </c>
      <c r="F1227" s="39">
        <v>62195.199999999997</v>
      </c>
      <c r="G1227" s="39" t="s">
        <v>2766</v>
      </c>
      <c r="H1227" s="39" t="s">
        <v>56</v>
      </c>
      <c r="I1227" s="39" t="s">
        <v>24</v>
      </c>
      <c r="J1227" s="51" t="s">
        <v>112</v>
      </c>
      <c r="K1227" s="36" t="s">
        <v>2686</v>
      </c>
    </row>
    <row r="1228" spans="1:11" ht="22.5" x14ac:dyDescent="0.25">
      <c r="A1228" s="1"/>
      <c r="B1228" s="36">
        <v>1259</v>
      </c>
      <c r="C1228" s="36" t="s">
        <v>345</v>
      </c>
      <c r="D1228" s="36" t="s">
        <v>2723</v>
      </c>
      <c r="E1228" s="36">
        <v>21315</v>
      </c>
      <c r="F1228" s="39">
        <v>21315</v>
      </c>
      <c r="G1228" s="39" t="s">
        <v>2766</v>
      </c>
      <c r="H1228" s="39" t="s">
        <v>56</v>
      </c>
      <c r="I1228" s="39" t="s">
        <v>9</v>
      </c>
      <c r="J1228" s="36" t="s">
        <v>2772</v>
      </c>
      <c r="K1228" s="36"/>
    </row>
    <row r="1229" spans="1:11" ht="45" x14ac:dyDescent="0.25">
      <c r="A1229" s="1"/>
      <c r="B1229" s="36">
        <v>1260</v>
      </c>
      <c r="C1229" s="36" t="s">
        <v>2724</v>
      </c>
      <c r="D1229" s="36" t="s">
        <v>108</v>
      </c>
      <c r="E1229" s="36" t="s">
        <v>2894</v>
      </c>
      <c r="F1229" s="39">
        <v>2000</v>
      </c>
      <c r="G1229" s="39" t="s">
        <v>2766</v>
      </c>
      <c r="H1229" s="39" t="s">
        <v>56</v>
      </c>
      <c r="I1229" s="39" t="s">
        <v>24</v>
      </c>
      <c r="J1229" s="51" t="s">
        <v>3</v>
      </c>
      <c r="K1229" s="39" t="s">
        <v>2773</v>
      </c>
    </row>
    <row r="1230" spans="1:11" ht="45" x14ac:dyDescent="0.25">
      <c r="A1230" s="1"/>
      <c r="B1230" s="36">
        <v>1261</v>
      </c>
      <c r="C1230" s="36" t="s">
        <v>896</v>
      </c>
      <c r="D1230" s="36" t="s">
        <v>108</v>
      </c>
      <c r="E1230" s="36" t="s">
        <v>2833</v>
      </c>
      <c r="F1230" s="39">
        <v>1200</v>
      </c>
      <c r="G1230" s="39" t="s">
        <v>2766</v>
      </c>
      <c r="H1230" s="39" t="s">
        <v>56</v>
      </c>
      <c r="I1230" s="39" t="s">
        <v>24</v>
      </c>
      <c r="J1230" s="51" t="s">
        <v>3</v>
      </c>
      <c r="K1230" s="36" t="s">
        <v>2774</v>
      </c>
    </row>
    <row r="1231" spans="1:11" ht="45" x14ac:dyDescent="0.25">
      <c r="A1231" s="1"/>
      <c r="B1231" s="36">
        <v>1262</v>
      </c>
      <c r="C1231" s="36" t="s">
        <v>2724</v>
      </c>
      <c r="D1231" s="36" t="s">
        <v>108</v>
      </c>
      <c r="E1231" s="36" t="s">
        <v>1122</v>
      </c>
      <c r="F1231" s="39">
        <v>1000</v>
      </c>
      <c r="G1231" s="39" t="s">
        <v>2766</v>
      </c>
      <c r="H1231" s="39" t="s">
        <v>56</v>
      </c>
      <c r="I1231" s="39" t="s">
        <v>24</v>
      </c>
      <c r="J1231" s="51" t="s">
        <v>3</v>
      </c>
      <c r="K1231" s="36" t="s">
        <v>2775</v>
      </c>
    </row>
    <row r="1232" spans="1:11" ht="45" x14ac:dyDescent="0.25">
      <c r="A1232" s="1"/>
      <c r="B1232" s="36">
        <v>1263</v>
      </c>
      <c r="C1232" s="36" t="s">
        <v>277</v>
      </c>
      <c r="D1232" s="36" t="s">
        <v>278</v>
      </c>
      <c r="E1232" s="36" t="s">
        <v>2838</v>
      </c>
      <c r="F1232" s="39">
        <v>1770</v>
      </c>
      <c r="G1232" s="39" t="s">
        <v>2766</v>
      </c>
      <c r="H1232" s="39" t="s">
        <v>56</v>
      </c>
      <c r="I1232" s="39" t="s">
        <v>24</v>
      </c>
      <c r="J1232" s="51" t="s">
        <v>3</v>
      </c>
      <c r="K1232" s="36" t="s">
        <v>2776</v>
      </c>
    </row>
    <row r="1233" spans="1:11" ht="45" x14ac:dyDescent="0.25">
      <c r="A1233" s="1"/>
      <c r="B1233" s="36">
        <v>1264</v>
      </c>
      <c r="C1233" s="36" t="s">
        <v>265</v>
      </c>
      <c r="D1233" s="36" t="s">
        <v>110</v>
      </c>
      <c r="E1233" s="36" t="s">
        <v>2930</v>
      </c>
      <c r="F1233" s="39">
        <v>1920</v>
      </c>
      <c r="G1233" s="39" t="s">
        <v>2766</v>
      </c>
      <c r="H1233" s="39" t="s">
        <v>56</v>
      </c>
      <c r="I1233" s="39" t="s">
        <v>24</v>
      </c>
      <c r="J1233" s="51" t="s">
        <v>3</v>
      </c>
      <c r="K1233" s="36" t="s">
        <v>2777</v>
      </c>
    </row>
    <row r="1234" spans="1:11" ht="45" x14ac:dyDescent="0.25">
      <c r="A1234" s="1"/>
      <c r="B1234" s="36">
        <v>1265</v>
      </c>
      <c r="C1234" s="36" t="s">
        <v>1903</v>
      </c>
      <c r="D1234" s="36" t="s">
        <v>278</v>
      </c>
      <c r="E1234" s="36" t="s">
        <v>2836</v>
      </c>
      <c r="F1234" s="39">
        <v>2078</v>
      </c>
      <c r="G1234" s="39" t="s">
        <v>2766</v>
      </c>
      <c r="H1234" s="39" t="s">
        <v>56</v>
      </c>
      <c r="I1234" s="39" t="s">
        <v>24</v>
      </c>
      <c r="J1234" s="51" t="s">
        <v>3</v>
      </c>
      <c r="K1234" s="36" t="s">
        <v>2778</v>
      </c>
    </row>
    <row r="1235" spans="1:11" ht="45" x14ac:dyDescent="0.25">
      <c r="A1235" s="1"/>
      <c r="B1235" s="36">
        <v>1266</v>
      </c>
      <c r="C1235" s="36" t="s">
        <v>1903</v>
      </c>
      <c r="D1235" s="36" t="s">
        <v>278</v>
      </c>
      <c r="E1235" s="36" t="s">
        <v>2837</v>
      </c>
      <c r="F1235" s="39">
        <v>9058</v>
      </c>
      <c r="G1235" s="39" t="s">
        <v>2766</v>
      </c>
      <c r="H1235" s="39" t="s">
        <v>56</v>
      </c>
      <c r="I1235" s="39" t="s">
        <v>24</v>
      </c>
      <c r="J1235" s="51" t="s">
        <v>3</v>
      </c>
      <c r="K1235" s="36" t="s">
        <v>2779</v>
      </c>
    </row>
    <row r="1236" spans="1:11" ht="45" x14ac:dyDescent="0.25">
      <c r="A1236" s="1"/>
      <c r="B1236" s="36">
        <v>1267</v>
      </c>
      <c r="C1236" s="36" t="s">
        <v>1903</v>
      </c>
      <c r="D1236" s="36" t="s">
        <v>278</v>
      </c>
      <c r="E1236" s="36" t="s">
        <v>2891</v>
      </c>
      <c r="F1236" s="39">
        <v>4822</v>
      </c>
      <c r="G1236" s="39" t="s">
        <v>2766</v>
      </c>
      <c r="H1236" s="39" t="s">
        <v>56</v>
      </c>
      <c r="I1236" s="39" t="s">
        <v>24</v>
      </c>
      <c r="J1236" s="51" t="s">
        <v>3</v>
      </c>
      <c r="K1236" s="36" t="s">
        <v>2780</v>
      </c>
    </row>
    <row r="1237" spans="1:11" ht="45" x14ac:dyDescent="0.25">
      <c r="A1237" s="1"/>
      <c r="B1237" s="36">
        <v>1268</v>
      </c>
      <c r="C1237" s="36" t="s">
        <v>1652</v>
      </c>
      <c r="D1237" s="36" t="s">
        <v>108</v>
      </c>
      <c r="E1237" s="36">
        <v>332.35</v>
      </c>
      <c r="F1237" s="39">
        <v>350</v>
      </c>
      <c r="G1237" s="39" t="s">
        <v>2781</v>
      </c>
      <c r="H1237" s="39" t="s">
        <v>56</v>
      </c>
      <c r="I1237" s="39" t="s">
        <v>24</v>
      </c>
      <c r="J1237" s="51" t="s">
        <v>3</v>
      </c>
      <c r="K1237" s="36" t="s">
        <v>2782</v>
      </c>
    </row>
    <row r="1238" spans="1:11" ht="45" x14ac:dyDescent="0.25">
      <c r="A1238" s="1"/>
      <c r="B1238" s="36">
        <v>1269</v>
      </c>
      <c r="C1238" s="36" t="s">
        <v>863</v>
      </c>
      <c r="D1238" s="36" t="s">
        <v>1156</v>
      </c>
      <c r="E1238" s="36">
        <v>800</v>
      </c>
      <c r="F1238" s="39">
        <v>910</v>
      </c>
      <c r="G1238" s="39" t="s">
        <v>2781</v>
      </c>
      <c r="H1238" s="39" t="s">
        <v>56</v>
      </c>
      <c r="I1238" s="39" t="s">
        <v>24</v>
      </c>
      <c r="J1238" s="51" t="s">
        <v>3</v>
      </c>
      <c r="K1238" s="36" t="s">
        <v>2783</v>
      </c>
    </row>
    <row r="1239" spans="1:11" ht="45" x14ac:dyDescent="0.25">
      <c r="A1239" s="1"/>
      <c r="B1239" s="36">
        <v>1270</v>
      </c>
      <c r="C1239" s="36" t="s">
        <v>863</v>
      </c>
      <c r="D1239" s="36" t="s">
        <v>108</v>
      </c>
      <c r="E1239" s="36">
        <v>418</v>
      </c>
      <c r="F1239" s="39">
        <v>420</v>
      </c>
      <c r="G1239" s="39" t="s">
        <v>2781</v>
      </c>
      <c r="H1239" s="39" t="s">
        <v>56</v>
      </c>
      <c r="I1239" s="39" t="s">
        <v>24</v>
      </c>
      <c r="J1239" s="51" t="s">
        <v>3</v>
      </c>
      <c r="K1239" s="36" t="s">
        <v>2784</v>
      </c>
    </row>
    <row r="1240" spans="1:11" ht="45" x14ac:dyDescent="0.25">
      <c r="A1240" s="1"/>
      <c r="B1240" s="36">
        <v>1271</v>
      </c>
      <c r="C1240" s="36" t="s">
        <v>235</v>
      </c>
      <c r="D1240" s="36" t="s">
        <v>108</v>
      </c>
      <c r="E1240" s="36">
        <v>320</v>
      </c>
      <c r="F1240" s="39">
        <v>350</v>
      </c>
      <c r="G1240" s="39" t="s">
        <v>2781</v>
      </c>
      <c r="H1240" s="39" t="s">
        <v>56</v>
      </c>
      <c r="I1240" s="39" t="s">
        <v>24</v>
      </c>
      <c r="J1240" s="51" t="s">
        <v>3</v>
      </c>
      <c r="K1240" s="36" t="s">
        <v>2785</v>
      </c>
    </row>
    <row r="1241" spans="1:11" ht="90" x14ac:dyDescent="0.2">
      <c r="A1241" s="1"/>
      <c r="B1241" s="36">
        <v>1272</v>
      </c>
      <c r="C1241" s="76" t="s">
        <v>2725</v>
      </c>
      <c r="D1241" s="36" t="s">
        <v>2726</v>
      </c>
      <c r="E1241" s="36" t="s">
        <v>2890</v>
      </c>
      <c r="F1241" s="39">
        <v>9806.82</v>
      </c>
      <c r="G1241" s="39" t="s">
        <v>2781</v>
      </c>
      <c r="H1241" s="39" t="s">
        <v>56</v>
      </c>
      <c r="I1241" s="39" t="s">
        <v>24</v>
      </c>
      <c r="J1241" s="51" t="s">
        <v>398</v>
      </c>
      <c r="K1241" s="36" t="s">
        <v>2786</v>
      </c>
    </row>
    <row r="1242" spans="1:11" ht="45" x14ac:dyDescent="0.25">
      <c r="A1242" s="1"/>
      <c r="B1242" s="36">
        <v>1273</v>
      </c>
      <c r="C1242" s="36" t="s">
        <v>2727</v>
      </c>
      <c r="D1242" s="36" t="s">
        <v>108</v>
      </c>
      <c r="E1242" s="36" t="s">
        <v>2841</v>
      </c>
      <c r="F1242" s="39">
        <v>1200</v>
      </c>
      <c r="G1242" s="39" t="s">
        <v>2781</v>
      </c>
      <c r="H1242" s="39" t="s">
        <v>56</v>
      </c>
      <c r="I1242" s="39" t="s">
        <v>24</v>
      </c>
      <c r="J1242" s="51" t="s">
        <v>3</v>
      </c>
      <c r="K1242" s="36" t="s">
        <v>2787</v>
      </c>
    </row>
    <row r="1243" spans="1:11" ht="45" x14ac:dyDescent="0.25">
      <c r="A1243" s="1"/>
      <c r="B1243" s="36">
        <v>1274</v>
      </c>
      <c r="C1243" s="36" t="s">
        <v>1659</v>
      </c>
      <c r="D1243" s="36" t="s">
        <v>108</v>
      </c>
      <c r="E1243" s="36" t="s">
        <v>2834</v>
      </c>
      <c r="F1243" s="39">
        <v>1200</v>
      </c>
      <c r="G1243" s="39" t="s">
        <v>2781</v>
      </c>
      <c r="H1243" s="39" t="s">
        <v>56</v>
      </c>
      <c r="I1243" s="39" t="s">
        <v>24</v>
      </c>
      <c r="J1243" s="51" t="s">
        <v>3</v>
      </c>
      <c r="K1243" s="36" t="s">
        <v>2788</v>
      </c>
    </row>
    <row r="1244" spans="1:11" ht="45" x14ac:dyDescent="0.25">
      <c r="A1244" s="1"/>
      <c r="B1244" s="36">
        <v>1275</v>
      </c>
      <c r="C1244" s="36" t="s">
        <v>2724</v>
      </c>
      <c r="D1244" s="36" t="s">
        <v>108</v>
      </c>
      <c r="E1244" s="36" t="s">
        <v>1775</v>
      </c>
      <c r="F1244" s="39">
        <v>1000</v>
      </c>
      <c r="G1244" s="39" t="s">
        <v>2781</v>
      </c>
      <c r="H1244" s="39" t="s">
        <v>56</v>
      </c>
      <c r="I1244" s="39" t="s">
        <v>24</v>
      </c>
      <c r="J1244" s="51" t="s">
        <v>3</v>
      </c>
      <c r="K1244" s="36" t="s">
        <v>2789</v>
      </c>
    </row>
    <row r="1245" spans="1:11" ht="45" x14ac:dyDescent="0.25">
      <c r="A1245" s="1"/>
      <c r="B1245" s="36">
        <v>1276</v>
      </c>
      <c r="C1245" s="36" t="s">
        <v>209</v>
      </c>
      <c r="D1245" s="36" t="s">
        <v>110</v>
      </c>
      <c r="E1245" s="36" t="s">
        <v>2842</v>
      </c>
      <c r="F1245" s="39">
        <v>2250</v>
      </c>
      <c r="G1245" s="39" t="s">
        <v>2781</v>
      </c>
      <c r="H1245" s="39" t="s">
        <v>56</v>
      </c>
      <c r="I1245" s="39" t="s">
        <v>24</v>
      </c>
      <c r="J1245" s="51" t="s">
        <v>3</v>
      </c>
      <c r="K1245" s="36" t="s">
        <v>2790</v>
      </c>
    </row>
    <row r="1246" spans="1:11" ht="45" x14ac:dyDescent="0.25">
      <c r="A1246" s="1"/>
      <c r="B1246" s="36">
        <v>1277</v>
      </c>
      <c r="C1246" s="36" t="s">
        <v>246</v>
      </c>
      <c r="D1246" s="36" t="s">
        <v>232</v>
      </c>
      <c r="E1246" s="36" t="s">
        <v>2840</v>
      </c>
      <c r="F1246" s="39">
        <v>2560</v>
      </c>
      <c r="G1246" s="39" t="s">
        <v>2781</v>
      </c>
      <c r="H1246" s="39" t="s">
        <v>56</v>
      </c>
      <c r="I1246" s="39" t="s">
        <v>24</v>
      </c>
      <c r="J1246" s="51" t="s">
        <v>3</v>
      </c>
      <c r="K1246" s="36" t="s">
        <v>2791</v>
      </c>
    </row>
    <row r="1247" spans="1:11" ht="45" x14ac:dyDescent="0.25">
      <c r="A1247" s="1"/>
      <c r="B1247" s="36">
        <v>1278</v>
      </c>
      <c r="C1247" s="36" t="s">
        <v>650</v>
      </c>
      <c r="D1247" s="36" t="s">
        <v>2390</v>
      </c>
      <c r="E1247" s="36">
        <v>377.6</v>
      </c>
      <c r="F1247" s="39">
        <v>377.6</v>
      </c>
      <c r="G1247" s="39" t="s">
        <v>2792</v>
      </c>
      <c r="H1247" s="39" t="s">
        <v>56</v>
      </c>
      <c r="I1247" s="39" t="s">
        <v>24</v>
      </c>
      <c r="J1247" s="51" t="s">
        <v>3</v>
      </c>
      <c r="K1247" s="36" t="s">
        <v>2793</v>
      </c>
    </row>
    <row r="1248" spans="1:11" ht="45.75" x14ac:dyDescent="0.25">
      <c r="A1248" s="1"/>
      <c r="B1248" s="36">
        <v>1279</v>
      </c>
      <c r="C1248" s="36" t="s">
        <v>2728</v>
      </c>
      <c r="D1248" s="36" t="s">
        <v>2729</v>
      </c>
      <c r="E1248" s="36">
        <v>100</v>
      </c>
      <c r="F1248" s="39">
        <v>100</v>
      </c>
      <c r="G1248" s="39" t="s">
        <v>2792</v>
      </c>
      <c r="H1248" s="39" t="s">
        <v>56</v>
      </c>
      <c r="I1248" s="39" t="s">
        <v>24</v>
      </c>
      <c r="J1248" s="46" t="s">
        <v>6</v>
      </c>
      <c r="K1248" s="36" t="s">
        <v>2794</v>
      </c>
    </row>
    <row r="1249" spans="1:11" ht="45" x14ac:dyDescent="0.25">
      <c r="A1249" s="1"/>
      <c r="B1249" s="36">
        <v>1280</v>
      </c>
      <c r="C1249" s="36" t="s">
        <v>277</v>
      </c>
      <c r="D1249" s="36" t="s">
        <v>278</v>
      </c>
      <c r="E1249" s="36" t="s">
        <v>2998</v>
      </c>
      <c r="F1249" s="36" t="s">
        <v>2998</v>
      </c>
      <c r="G1249" s="39" t="s">
        <v>2792</v>
      </c>
      <c r="H1249" s="39" t="s">
        <v>56</v>
      </c>
      <c r="I1249" s="39" t="s">
        <v>24</v>
      </c>
      <c r="J1249" s="51" t="s">
        <v>3</v>
      </c>
      <c r="K1249" s="36" t="s">
        <v>2927</v>
      </c>
    </row>
    <row r="1250" spans="1:11" ht="22.5" x14ac:dyDescent="0.25">
      <c r="A1250" s="1"/>
      <c r="B1250" s="36">
        <v>1281</v>
      </c>
      <c r="C1250" s="36" t="s">
        <v>2730</v>
      </c>
      <c r="D1250" s="36" t="s">
        <v>2731</v>
      </c>
      <c r="E1250" s="36">
        <v>720</v>
      </c>
      <c r="F1250" s="39">
        <v>720</v>
      </c>
      <c r="G1250" s="39" t="s">
        <v>2795</v>
      </c>
      <c r="H1250" s="39" t="s">
        <v>56</v>
      </c>
      <c r="I1250" s="39" t="s">
        <v>24</v>
      </c>
      <c r="J1250" s="36" t="s">
        <v>2796</v>
      </c>
      <c r="K1250" s="36"/>
    </row>
    <row r="1251" spans="1:11" ht="45.75" x14ac:dyDescent="0.25">
      <c r="A1251" s="1"/>
      <c r="B1251" s="36">
        <v>1282</v>
      </c>
      <c r="C1251" s="36" t="s">
        <v>2732</v>
      </c>
      <c r="D1251" s="36" t="s">
        <v>2733</v>
      </c>
      <c r="E1251" s="36">
        <v>180</v>
      </c>
      <c r="F1251" s="39">
        <v>180</v>
      </c>
      <c r="G1251" s="39" t="s">
        <v>2795</v>
      </c>
      <c r="H1251" s="39" t="s">
        <v>56</v>
      </c>
      <c r="I1251" s="39" t="s">
        <v>24</v>
      </c>
      <c r="J1251" s="46" t="s">
        <v>6</v>
      </c>
      <c r="K1251" s="36" t="s">
        <v>2797</v>
      </c>
    </row>
    <row r="1252" spans="1:11" ht="22.5" x14ac:dyDescent="0.25">
      <c r="A1252" s="1"/>
      <c r="B1252" s="36">
        <v>1283</v>
      </c>
      <c r="C1252" s="36" t="s">
        <v>654</v>
      </c>
      <c r="D1252" s="36" t="s">
        <v>2731</v>
      </c>
      <c r="E1252" s="36">
        <v>600</v>
      </c>
      <c r="F1252" s="39">
        <v>600</v>
      </c>
      <c r="G1252" s="39" t="s">
        <v>2795</v>
      </c>
      <c r="H1252" s="39" t="s">
        <v>56</v>
      </c>
      <c r="I1252" s="39" t="s">
        <v>24</v>
      </c>
      <c r="J1252" s="36" t="s">
        <v>2798</v>
      </c>
      <c r="K1252" s="36"/>
    </row>
    <row r="1253" spans="1:11" ht="22.5" x14ac:dyDescent="0.25">
      <c r="A1253" s="1"/>
      <c r="B1253" s="36">
        <v>1284</v>
      </c>
      <c r="C1253" s="36" t="s">
        <v>654</v>
      </c>
      <c r="D1253" s="36" t="s">
        <v>2731</v>
      </c>
      <c r="E1253" s="36">
        <v>1440</v>
      </c>
      <c r="F1253" s="39">
        <v>2240</v>
      </c>
      <c r="G1253" s="39" t="s">
        <v>2795</v>
      </c>
      <c r="H1253" s="39" t="s">
        <v>56</v>
      </c>
      <c r="I1253" s="39" t="s">
        <v>24</v>
      </c>
      <c r="J1253" s="36" t="s">
        <v>2799</v>
      </c>
      <c r="K1253" s="36"/>
    </row>
    <row r="1254" spans="1:11" ht="90" x14ac:dyDescent="0.25">
      <c r="A1254" s="1"/>
      <c r="B1254" s="36">
        <v>1285</v>
      </c>
      <c r="C1254" s="36" t="s">
        <v>1395</v>
      </c>
      <c r="D1254" s="36" t="s">
        <v>360</v>
      </c>
      <c r="E1254" s="36">
        <v>30</v>
      </c>
      <c r="F1254" s="39">
        <v>30</v>
      </c>
      <c r="G1254" s="39" t="s">
        <v>2795</v>
      </c>
      <c r="H1254" s="39" t="s">
        <v>56</v>
      </c>
      <c r="I1254" s="39" t="s">
        <v>24</v>
      </c>
      <c r="J1254" s="51" t="s">
        <v>25</v>
      </c>
      <c r="K1254" s="36" t="s">
        <v>2800</v>
      </c>
    </row>
    <row r="1255" spans="1:11" ht="90" x14ac:dyDescent="0.25">
      <c r="A1255" s="1"/>
      <c r="B1255" s="36">
        <v>1286</v>
      </c>
      <c r="C1255" s="36" t="s">
        <v>2734</v>
      </c>
      <c r="D1255" s="36" t="s">
        <v>2735</v>
      </c>
      <c r="E1255" s="36" t="s">
        <v>3013</v>
      </c>
      <c r="F1255" s="39">
        <v>5000</v>
      </c>
      <c r="G1255" s="39" t="s">
        <v>2795</v>
      </c>
      <c r="H1255" s="39" t="s">
        <v>56</v>
      </c>
      <c r="I1255" s="39" t="s">
        <v>24</v>
      </c>
      <c r="J1255" s="51" t="s">
        <v>398</v>
      </c>
      <c r="K1255" s="36" t="s">
        <v>2911</v>
      </c>
    </row>
    <row r="1256" spans="1:11" ht="90" x14ac:dyDescent="0.25">
      <c r="A1256" s="1"/>
      <c r="B1256" s="36">
        <v>1287</v>
      </c>
      <c r="C1256" s="36" t="s">
        <v>2736</v>
      </c>
      <c r="D1256" s="36" t="s">
        <v>2737</v>
      </c>
      <c r="E1256" s="36" t="s">
        <v>2920</v>
      </c>
      <c r="F1256" s="39">
        <v>50534.25</v>
      </c>
      <c r="G1256" s="39" t="s">
        <v>2795</v>
      </c>
      <c r="H1256" s="39" t="s">
        <v>56</v>
      </c>
      <c r="I1256" s="39" t="s">
        <v>24</v>
      </c>
      <c r="J1256" s="51" t="s">
        <v>112</v>
      </c>
      <c r="K1256" s="36" t="s">
        <v>2801</v>
      </c>
    </row>
    <row r="1257" spans="1:11" ht="45" x14ac:dyDescent="0.25">
      <c r="A1257" s="1"/>
      <c r="B1257" s="36">
        <v>1288</v>
      </c>
      <c r="C1257" s="36" t="s">
        <v>1343</v>
      </c>
      <c r="D1257" s="36" t="s">
        <v>232</v>
      </c>
      <c r="E1257" s="36" t="s">
        <v>2893</v>
      </c>
      <c r="F1257" s="39">
        <v>1812.5</v>
      </c>
      <c r="G1257" s="39" t="s">
        <v>2802</v>
      </c>
      <c r="H1257" s="39" t="s">
        <v>56</v>
      </c>
      <c r="I1257" s="39" t="s">
        <v>24</v>
      </c>
      <c r="J1257" s="51" t="s">
        <v>3</v>
      </c>
      <c r="K1257" s="36" t="s">
        <v>2892</v>
      </c>
    </row>
    <row r="1258" spans="1:11" ht="45" x14ac:dyDescent="0.25">
      <c r="A1258" s="1"/>
      <c r="B1258" s="36">
        <v>1289</v>
      </c>
      <c r="C1258" s="36" t="s">
        <v>1343</v>
      </c>
      <c r="D1258" s="36" t="s">
        <v>110</v>
      </c>
      <c r="E1258" s="36" t="s">
        <v>2896</v>
      </c>
      <c r="F1258" s="39">
        <v>2143.75</v>
      </c>
      <c r="G1258" s="39" t="s">
        <v>2802</v>
      </c>
      <c r="H1258" s="39" t="s">
        <v>56</v>
      </c>
      <c r="I1258" s="39" t="s">
        <v>24</v>
      </c>
      <c r="J1258" s="51" t="s">
        <v>3</v>
      </c>
      <c r="K1258" s="36" t="s">
        <v>2895</v>
      </c>
    </row>
    <row r="1259" spans="1:11" ht="45" x14ac:dyDescent="0.25">
      <c r="A1259" s="1"/>
      <c r="B1259" s="36">
        <v>4</v>
      </c>
      <c r="C1259" s="36" t="s">
        <v>2738</v>
      </c>
      <c r="D1259" s="36" t="s">
        <v>108</v>
      </c>
      <c r="E1259" s="36">
        <v>283.58999999999997</v>
      </c>
      <c r="F1259" s="39">
        <v>283.58999999999997</v>
      </c>
      <c r="G1259" s="39" t="s">
        <v>2802</v>
      </c>
      <c r="H1259" s="39" t="s">
        <v>56</v>
      </c>
      <c r="I1259" s="39" t="s">
        <v>24</v>
      </c>
      <c r="J1259" s="51" t="s">
        <v>3</v>
      </c>
      <c r="K1259" s="36" t="s">
        <v>2803</v>
      </c>
    </row>
    <row r="1260" spans="1:11" ht="45" x14ac:dyDescent="0.25">
      <c r="A1260" s="1"/>
      <c r="B1260" s="36">
        <v>1290</v>
      </c>
      <c r="C1260" s="36" t="s">
        <v>2739</v>
      </c>
      <c r="D1260" s="36" t="s">
        <v>2740</v>
      </c>
      <c r="E1260" s="36">
        <v>699</v>
      </c>
      <c r="F1260" s="39">
        <v>699</v>
      </c>
      <c r="G1260" s="39" t="s">
        <v>2804</v>
      </c>
      <c r="H1260" s="39" t="s">
        <v>56</v>
      </c>
      <c r="I1260" s="39" t="s">
        <v>24</v>
      </c>
      <c r="J1260" s="36" t="s">
        <v>826</v>
      </c>
      <c r="K1260" s="36" t="s">
        <v>2805</v>
      </c>
    </row>
    <row r="1261" spans="1:11" ht="45" x14ac:dyDescent="0.25">
      <c r="A1261" s="1"/>
      <c r="B1261" s="36">
        <v>1291</v>
      </c>
      <c r="C1261" s="36" t="s">
        <v>120</v>
      </c>
      <c r="D1261" s="36" t="s">
        <v>2390</v>
      </c>
      <c r="E1261" s="36" t="s">
        <v>2838</v>
      </c>
      <c r="F1261" s="39">
        <v>1770</v>
      </c>
      <c r="G1261" s="39" t="s">
        <v>2804</v>
      </c>
      <c r="H1261" s="39" t="s">
        <v>56</v>
      </c>
      <c r="I1261" s="39" t="s">
        <v>24</v>
      </c>
      <c r="J1261" s="51" t="s">
        <v>3</v>
      </c>
      <c r="K1261" s="36" t="s">
        <v>2897</v>
      </c>
    </row>
    <row r="1262" spans="1:11" ht="45" x14ac:dyDescent="0.25">
      <c r="A1262" s="1"/>
      <c r="B1262" s="36">
        <v>1292</v>
      </c>
      <c r="C1262" s="36" t="s">
        <v>2741</v>
      </c>
      <c r="D1262" s="36" t="s">
        <v>2742</v>
      </c>
      <c r="E1262" s="36">
        <v>550</v>
      </c>
      <c r="F1262" s="39">
        <v>550</v>
      </c>
      <c r="G1262" s="39" t="s">
        <v>2804</v>
      </c>
      <c r="H1262" s="39" t="s">
        <v>56</v>
      </c>
      <c r="I1262" s="39" t="s">
        <v>24</v>
      </c>
      <c r="J1262" s="36" t="s">
        <v>826</v>
      </c>
      <c r="K1262" s="36" t="s">
        <v>2898</v>
      </c>
    </row>
    <row r="1263" spans="1:11" ht="45" x14ac:dyDescent="0.25">
      <c r="A1263" s="1"/>
      <c r="B1263" s="36">
        <v>1293</v>
      </c>
      <c r="C1263" s="36" t="s">
        <v>2401</v>
      </c>
      <c r="D1263" s="36" t="s">
        <v>2743</v>
      </c>
      <c r="E1263" s="36" t="s">
        <v>2909</v>
      </c>
      <c r="F1263" s="39">
        <v>2629</v>
      </c>
      <c r="G1263" s="39" t="s">
        <v>2804</v>
      </c>
      <c r="H1263" s="39" t="s">
        <v>56</v>
      </c>
      <c r="I1263" s="39" t="s">
        <v>24</v>
      </c>
      <c r="J1263" s="36" t="s">
        <v>826</v>
      </c>
      <c r="K1263" s="36" t="s">
        <v>2908</v>
      </c>
    </row>
    <row r="1264" spans="1:11" ht="45" x14ac:dyDescent="0.25">
      <c r="A1264" s="1"/>
      <c r="B1264" s="36">
        <v>1294</v>
      </c>
      <c r="C1264" s="36" t="s">
        <v>2744</v>
      </c>
      <c r="D1264" s="36" t="s">
        <v>2745</v>
      </c>
      <c r="E1264" s="36" t="s">
        <v>2903</v>
      </c>
      <c r="F1264" s="39">
        <v>1069</v>
      </c>
      <c r="G1264" s="39" t="s">
        <v>2804</v>
      </c>
      <c r="H1264" s="39" t="s">
        <v>56</v>
      </c>
      <c r="I1264" s="39" t="s">
        <v>24</v>
      </c>
      <c r="J1264" s="36" t="s">
        <v>826</v>
      </c>
      <c r="K1264" s="36" t="s">
        <v>2902</v>
      </c>
    </row>
    <row r="1265" spans="1:11" ht="22.5" x14ac:dyDescent="0.25">
      <c r="A1265" s="1"/>
      <c r="B1265" s="36">
        <v>1295</v>
      </c>
      <c r="C1265" s="36" t="s">
        <v>2730</v>
      </c>
      <c r="D1265" s="36" t="s">
        <v>2731</v>
      </c>
      <c r="E1265" s="36">
        <v>520</v>
      </c>
      <c r="F1265" s="39">
        <v>520</v>
      </c>
      <c r="G1265" s="39" t="s">
        <v>2806</v>
      </c>
      <c r="H1265" s="39" t="s">
        <v>56</v>
      </c>
      <c r="I1265" s="39" t="s">
        <v>7</v>
      </c>
      <c r="J1265" s="36" t="s">
        <v>2807</v>
      </c>
      <c r="K1265" s="36"/>
    </row>
    <row r="1266" spans="1:11" ht="90" x14ac:dyDescent="0.25">
      <c r="A1266" s="1"/>
      <c r="B1266" s="36">
        <v>1296</v>
      </c>
      <c r="C1266" s="36" t="s">
        <v>365</v>
      </c>
      <c r="D1266" s="36" t="s">
        <v>671</v>
      </c>
      <c r="E1266" s="36" t="s">
        <v>2912</v>
      </c>
      <c r="F1266" s="39">
        <v>8000</v>
      </c>
      <c r="G1266" s="39" t="s">
        <v>2806</v>
      </c>
      <c r="H1266" s="39" t="s">
        <v>56</v>
      </c>
      <c r="I1266" s="39" t="s">
        <v>24</v>
      </c>
      <c r="J1266" s="51" t="s">
        <v>398</v>
      </c>
      <c r="K1266" s="36" t="s">
        <v>2861</v>
      </c>
    </row>
    <row r="1267" spans="1:11" ht="11.25" x14ac:dyDescent="0.25">
      <c r="A1267" s="1"/>
      <c r="B1267" s="36">
        <v>1297</v>
      </c>
      <c r="C1267" s="36" t="s">
        <v>2746</v>
      </c>
      <c r="D1267" s="36" t="s">
        <v>2747</v>
      </c>
      <c r="E1267" s="36">
        <f>9132+21539+11277+25562</f>
        <v>67510</v>
      </c>
      <c r="F1267" s="39">
        <v>135626</v>
      </c>
      <c r="G1267" s="39" t="s">
        <v>2806</v>
      </c>
      <c r="H1267" s="39" t="s">
        <v>56</v>
      </c>
      <c r="I1267" s="39" t="s">
        <v>9</v>
      </c>
      <c r="J1267" s="36" t="s">
        <v>2808</v>
      </c>
      <c r="K1267" s="36"/>
    </row>
    <row r="1268" spans="1:11" ht="45" x14ac:dyDescent="0.25">
      <c r="A1268" s="1"/>
      <c r="B1268" s="36">
        <v>1298</v>
      </c>
      <c r="C1268" s="36" t="s">
        <v>120</v>
      </c>
      <c r="D1268" s="36" t="s">
        <v>2390</v>
      </c>
      <c r="E1268" s="36">
        <v>885</v>
      </c>
      <c r="F1268" s="39">
        <v>885</v>
      </c>
      <c r="G1268" s="39" t="s">
        <v>2809</v>
      </c>
      <c r="H1268" s="39" t="s">
        <v>56</v>
      </c>
      <c r="I1268" s="39" t="s">
        <v>24</v>
      </c>
      <c r="J1268" s="51" t="s">
        <v>3</v>
      </c>
      <c r="K1268" s="36" t="s">
        <v>2862</v>
      </c>
    </row>
    <row r="1269" spans="1:11" ht="45" x14ac:dyDescent="0.25">
      <c r="A1269" s="1"/>
      <c r="B1269" s="36">
        <v>1299</v>
      </c>
      <c r="C1269" s="36" t="s">
        <v>903</v>
      </c>
      <c r="D1269" s="36" t="s">
        <v>110</v>
      </c>
      <c r="E1269" s="36" t="s">
        <v>304</v>
      </c>
      <c r="F1269" s="39">
        <v>1100</v>
      </c>
      <c r="G1269" s="39" t="s">
        <v>2809</v>
      </c>
      <c r="H1269" s="39" t="s">
        <v>56</v>
      </c>
      <c r="I1269" s="39" t="s">
        <v>24</v>
      </c>
      <c r="J1269" s="51" t="s">
        <v>3</v>
      </c>
      <c r="K1269" s="36" t="s">
        <v>2863</v>
      </c>
    </row>
    <row r="1270" spans="1:11" ht="45" x14ac:dyDescent="0.25">
      <c r="A1270" s="1"/>
      <c r="B1270" s="36">
        <v>1300</v>
      </c>
      <c r="C1270" s="36" t="s">
        <v>886</v>
      </c>
      <c r="D1270" s="36" t="s">
        <v>232</v>
      </c>
      <c r="E1270" s="36" t="s">
        <v>2901</v>
      </c>
      <c r="F1270" s="39">
        <v>1625</v>
      </c>
      <c r="G1270" s="39" t="s">
        <v>2809</v>
      </c>
      <c r="H1270" s="39" t="s">
        <v>56</v>
      </c>
      <c r="I1270" s="39" t="s">
        <v>24</v>
      </c>
      <c r="J1270" s="51" t="s">
        <v>3</v>
      </c>
      <c r="K1270" s="36" t="s">
        <v>2864</v>
      </c>
    </row>
    <row r="1271" spans="1:11" ht="45" x14ac:dyDescent="0.25">
      <c r="A1271" s="1"/>
      <c r="B1271" s="36">
        <v>1301</v>
      </c>
      <c r="C1271" s="36" t="s">
        <v>134</v>
      </c>
      <c r="D1271" s="36" t="s">
        <v>1156</v>
      </c>
      <c r="E1271" s="36" t="s">
        <v>2994</v>
      </c>
      <c r="F1271" s="39">
        <v>1568</v>
      </c>
      <c r="G1271" s="39" t="s">
        <v>2809</v>
      </c>
      <c r="H1271" s="39" t="s">
        <v>56</v>
      </c>
      <c r="I1271" s="39" t="s">
        <v>24</v>
      </c>
      <c r="J1271" s="51" t="s">
        <v>3</v>
      </c>
      <c r="K1271" s="36" t="s">
        <v>2865</v>
      </c>
    </row>
    <row r="1272" spans="1:11" ht="45" x14ac:dyDescent="0.25">
      <c r="A1272" s="1"/>
      <c r="B1272" s="36">
        <v>1302</v>
      </c>
      <c r="C1272" s="36" t="s">
        <v>134</v>
      </c>
      <c r="D1272" s="36" t="s">
        <v>108</v>
      </c>
      <c r="E1272" s="36">
        <v>479.96</v>
      </c>
      <c r="F1272" s="39">
        <v>480</v>
      </c>
      <c r="G1272" s="39" t="s">
        <v>2809</v>
      </c>
      <c r="H1272" s="39" t="s">
        <v>56</v>
      </c>
      <c r="I1272" s="39" t="s">
        <v>24</v>
      </c>
      <c r="J1272" s="51" t="s">
        <v>3</v>
      </c>
      <c r="K1272" s="36" t="s">
        <v>2866</v>
      </c>
    </row>
    <row r="1273" spans="1:11" ht="45" x14ac:dyDescent="0.25">
      <c r="A1273" s="1"/>
      <c r="B1273" s="36">
        <v>1303</v>
      </c>
      <c r="C1273" s="36" t="s">
        <v>1886</v>
      </c>
      <c r="D1273" s="36" t="s">
        <v>108</v>
      </c>
      <c r="E1273" s="36">
        <v>381.8</v>
      </c>
      <c r="F1273" s="39">
        <v>480</v>
      </c>
      <c r="G1273" s="39" t="s">
        <v>2809</v>
      </c>
      <c r="H1273" s="39" t="s">
        <v>56</v>
      </c>
      <c r="I1273" s="39" t="s">
        <v>24</v>
      </c>
      <c r="J1273" s="51" t="s">
        <v>3</v>
      </c>
      <c r="K1273" s="36" t="s">
        <v>2867</v>
      </c>
    </row>
    <row r="1274" spans="1:11" ht="45" x14ac:dyDescent="0.25">
      <c r="A1274" s="1"/>
      <c r="B1274" s="36">
        <v>1304</v>
      </c>
      <c r="C1274" s="36" t="s">
        <v>2394</v>
      </c>
      <c r="D1274" s="36" t="s">
        <v>108</v>
      </c>
      <c r="E1274" s="36">
        <v>400</v>
      </c>
      <c r="F1274" s="39">
        <v>400</v>
      </c>
      <c r="G1274" s="39" t="s">
        <v>2809</v>
      </c>
      <c r="H1274" s="39" t="s">
        <v>56</v>
      </c>
      <c r="I1274" s="39" t="s">
        <v>24</v>
      </c>
      <c r="J1274" s="51" t="s">
        <v>3</v>
      </c>
      <c r="K1274" s="36" t="s">
        <v>2868</v>
      </c>
    </row>
    <row r="1275" spans="1:11" ht="45" x14ac:dyDescent="0.25">
      <c r="A1275" s="1"/>
      <c r="B1275" s="36">
        <v>1305</v>
      </c>
      <c r="C1275" s="36" t="s">
        <v>2395</v>
      </c>
      <c r="D1275" s="36" t="s">
        <v>108</v>
      </c>
      <c r="E1275" s="36">
        <v>399.19</v>
      </c>
      <c r="F1275" s="39">
        <v>400</v>
      </c>
      <c r="G1275" s="39" t="s">
        <v>2809</v>
      </c>
      <c r="H1275" s="39" t="s">
        <v>56</v>
      </c>
      <c r="I1275" s="39" t="s">
        <v>24</v>
      </c>
      <c r="J1275" s="51" t="s">
        <v>3</v>
      </c>
      <c r="K1275" s="36" t="s">
        <v>2869</v>
      </c>
    </row>
    <row r="1276" spans="1:11" ht="45" x14ac:dyDescent="0.25">
      <c r="A1276" s="1"/>
      <c r="B1276" s="36">
        <v>1307</v>
      </c>
      <c r="C1276" s="36" t="s">
        <v>1343</v>
      </c>
      <c r="D1276" s="36" t="s">
        <v>232</v>
      </c>
      <c r="E1276" s="36" t="s">
        <v>575</v>
      </c>
      <c r="F1276" s="39">
        <v>1750</v>
      </c>
      <c r="G1276" s="39" t="s">
        <v>2870</v>
      </c>
      <c r="H1276" s="39" t="s">
        <v>56</v>
      </c>
      <c r="I1276" s="39" t="s">
        <v>24</v>
      </c>
      <c r="J1276" s="51" t="s">
        <v>3</v>
      </c>
      <c r="K1276" s="36" t="s">
        <v>2871</v>
      </c>
    </row>
    <row r="1277" spans="1:11" ht="45" x14ac:dyDescent="0.25">
      <c r="A1277" s="1"/>
      <c r="B1277" s="36">
        <v>1308</v>
      </c>
      <c r="C1277" s="36" t="s">
        <v>327</v>
      </c>
      <c r="D1277" s="36" t="s">
        <v>108</v>
      </c>
      <c r="E1277" s="36">
        <v>189</v>
      </c>
      <c r="F1277" s="39">
        <v>300</v>
      </c>
      <c r="G1277" s="39" t="s">
        <v>2870</v>
      </c>
      <c r="H1277" s="39" t="s">
        <v>56</v>
      </c>
      <c r="I1277" s="39" t="s">
        <v>24</v>
      </c>
      <c r="J1277" s="51" t="s">
        <v>3</v>
      </c>
      <c r="K1277" s="36" t="s">
        <v>2872</v>
      </c>
    </row>
    <row r="1278" spans="1:11" ht="45" x14ac:dyDescent="0.25">
      <c r="A1278" s="1"/>
      <c r="B1278" s="36">
        <v>1309</v>
      </c>
      <c r="C1278" s="36" t="s">
        <v>2847</v>
      </c>
      <c r="D1278" s="36" t="s">
        <v>108</v>
      </c>
      <c r="E1278" s="36">
        <v>359.7</v>
      </c>
      <c r="F1278" s="39">
        <v>360</v>
      </c>
      <c r="G1278" s="39" t="s">
        <v>2870</v>
      </c>
      <c r="H1278" s="39" t="s">
        <v>56</v>
      </c>
      <c r="I1278" s="39" t="s">
        <v>24</v>
      </c>
      <c r="J1278" s="51" t="s">
        <v>3</v>
      </c>
      <c r="K1278" s="36" t="s">
        <v>2873</v>
      </c>
    </row>
    <row r="1279" spans="1:11" ht="45" x14ac:dyDescent="0.25">
      <c r="A1279" s="1"/>
      <c r="B1279" s="36">
        <v>1310</v>
      </c>
      <c r="C1279" s="36" t="s">
        <v>2452</v>
      </c>
      <c r="D1279" s="36" t="s">
        <v>1156</v>
      </c>
      <c r="E1279" s="36" t="s">
        <v>2913</v>
      </c>
      <c r="F1279" s="39">
        <v>3072.78</v>
      </c>
      <c r="G1279" s="39" t="s">
        <v>2870</v>
      </c>
      <c r="H1279" s="39" t="s">
        <v>56</v>
      </c>
      <c r="I1279" s="39" t="s">
        <v>24</v>
      </c>
      <c r="J1279" s="51" t="s">
        <v>3</v>
      </c>
      <c r="K1279" s="36" t="s">
        <v>2874</v>
      </c>
    </row>
    <row r="1280" spans="1:11" ht="45" x14ac:dyDescent="0.25">
      <c r="A1280" s="1"/>
      <c r="B1280" s="36">
        <v>1312</v>
      </c>
      <c r="C1280" s="36" t="s">
        <v>2724</v>
      </c>
      <c r="D1280" s="36" t="s">
        <v>108</v>
      </c>
      <c r="E1280" s="36">
        <v>359.9</v>
      </c>
      <c r="F1280" s="39">
        <v>360</v>
      </c>
      <c r="G1280" s="39" t="s">
        <v>2870</v>
      </c>
      <c r="H1280" s="39" t="s">
        <v>56</v>
      </c>
      <c r="I1280" s="39" t="s">
        <v>24</v>
      </c>
      <c r="J1280" s="51" t="s">
        <v>3</v>
      </c>
      <c r="K1280" s="36" t="s">
        <v>2875</v>
      </c>
    </row>
    <row r="1281" spans="1:11" ht="45" x14ac:dyDescent="0.25">
      <c r="A1281" s="1"/>
      <c r="B1281" s="36">
        <v>1313</v>
      </c>
      <c r="C1281" s="36" t="s">
        <v>134</v>
      </c>
      <c r="D1281" s="36" t="s">
        <v>1156</v>
      </c>
      <c r="E1281" s="36">
        <v>688.5</v>
      </c>
      <c r="F1281" s="39">
        <v>688.5</v>
      </c>
      <c r="G1281" s="39" t="s">
        <v>2870</v>
      </c>
      <c r="H1281" s="39" t="s">
        <v>56</v>
      </c>
      <c r="I1281" s="39" t="s">
        <v>24</v>
      </c>
      <c r="J1281" s="51" t="s">
        <v>3</v>
      </c>
      <c r="K1281" s="36" t="s">
        <v>2876</v>
      </c>
    </row>
    <row r="1282" spans="1:11" ht="45" x14ac:dyDescent="0.25">
      <c r="A1282" s="1"/>
      <c r="B1282" s="36">
        <v>1314</v>
      </c>
      <c r="C1282" s="36" t="s">
        <v>1343</v>
      </c>
      <c r="D1282" s="36" t="s">
        <v>110</v>
      </c>
      <c r="E1282" s="36" t="s">
        <v>2910</v>
      </c>
      <c r="F1282" s="39">
        <v>2312.5</v>
      </c>
      <c r="G1282" s="39" t="s">
        <v>2870</v>
      </c>
      <c r="H1282" s="39" t="s">
        <v>56</v>
      </c>
      <c r="I1282" s="39" t="s">
        <v>24</v>
      </c>
      <c r="J1282" s="51" t="s">
        <v>3</v>
      </c>
      <c r="K1282" s="36" t="s">
        <v>2877</v>
      </c>
    </row>
    <row r="1283" spans="1:11" ht="45" x14ac:dyDescent="0.25">
      <c r="A1283" s="1"/>
      <c r="B1283" s="36">
        <v>1315</v>
      </c>
      <c r="C1283" s="36" t="s">
        <v>1366</v>
      </c>
      <c r="D1283" s="36" t="s">
        <v>108</v>
      </c>
      <c r="E1283" s="36">
        <v>293.3</v>
      </c>
      <c r="F1283" s="39">
        <v>300</v>
      </c>
      <c r="G1283" s="39" t="s">
        <v>2870</v>
      </c>
      <c r="H1283" s="39" t="s">
        <v>56</v>
      </c>
      <c r="I1283" s="39" t="s">
        <v>24</v>
      </c>
      <c r="J1283" s="51" t="s">
        <v>3</v>
      </c>
      <c r="K1283" s="36" t="s">
        <v>2878</v>
      </c>
    </row>
    <row r="1284" spans="1:11" ht="45" x14ac:dyDescent="0.25">
      <c r="A1284" s="1"/>
      <c r="B1284" s="36">
        <v>1316</v>
      </c>
      <c r="C1284" s="36" t="s">
        <v>2394</v>
      </c>
      <c r="D1284" s="36" t="s">
        <v>108</v>
      </c>
      <c r="E1284" s="36">
        <v>300</v>
      </c>
      <c r="F1284" s="39">
        <v>300</v>
      </c>
      <c r="G1284" s="39" t="s">
        <v>2870</v>
      </c>
      <c r="H1284" s="39" t="s">
        <v>56</v>
      </c>
      <c r="I1284" s="39" t="s">
        <v>24</v>
      </c>
      <c r="J1284" s="51" t="s">
        <v>3</v>
      </c>
      <c r="K1284" s="36" t="s">
        <v>2879</v>
      </c>
    </row>
    <row r="1285" spans="1:11" ht="90" x14ac:dyDescent="0.25">
      <c r="A1285" s="1"/>
      <c r="B1285" s="36">
        <v>1317</v>
      </c>
      <c r="C1285" s="36" t="s">
        <v>1349</v>
      </c>
      <c r="D1285" s="36" t="s">
        <v>2848</v>
      </c>
      <c r="E1285" s="36" t="s">
        <v>2922</v>
      </c>
      <c r="F1285" s="39">
        <v>21351</v>
      </c>
      <c r="G1285" s="39" t="s">
        <v>2880</v>
      </c>
      <c r="H1285" s="39" t="s">
        <v>56</v>
      </c>
      <c r="I1285" s="39" t="s">
        <v>24</v>
      </c>
      <c r="J1285" s="51" t="s">
        <v>398</v>
      </c>
      <c r="K1285" s="52" t="s">
        <v>2921</v>
      </c>
    </row>
    <row r="1286" spans="1:11" ht="45" x14ac:dyDescent="0.25">
      <c r="A1286" s="1"/>
      <c r="B1286" s="36">
        <v>1318</v>
      </c>
      <c r="C1286" s="36" t="s">
        <v>193</v>
      </c>
      <c r="D1286" s="36" t="s">
        <v>2849</v>
      </c>
      <c r="E1286" s="36" t="s">
        <v>2925</v>
      </c>
      <c r="F1286" s="39">
        <v>1982</v>
      </c>
      <c r="G1286" s="39" t="s">
        <v>2880</v>
      </c>
      <c r="H1286" s="39" t="s">
        <v>56</v>
      </c>
      <c r="I1286" s="39" t="s">
        <v>24</v>
      </c>
      <c r="J1286" s="46" t="s">
        <v>18</v>
      </c>
      <c r="K1286" s="36" t="s">
        <v>2881</v>
      </c>
    </row>
    <row r="1287" spans="1:11" ht="90" x14ac:dyDescent="0.25">
      <c r="A1287" s="1"/>
      <c r="B1287" s="36">
        <v>1319</v>
      </c>
      <c r="C1287" s="36" t="s">
        <v>2850</v>
      </c>
      <c r="D1287" s="36" t="s">
        <v>2851</v>
      </c>
      <c r="E1287" s="36" t="s">
        <v>1775</v>
      </c>
      <c r="F1287" s="39">
        <v>1000</v>
      </c>
      <c r="G1287" s="39" t="s">
        <v>2882</v>
      </c>
      <c r="H1287" s="39" t="s">
        <v>56</v>
      </c>
      <c r="I1287" s="39" t="s">
        <v>24</v>
      </c>
      <c r="J1287" s="51" t="s">
        <v>398</v>
      </c>
      <c r="K1287" s="36" t="s">
        <v>2883</v>
      </c>
    </row>
    <row r="1288" spans="1:11" ht="90" x14ac:dyDescent="0.25">
      <c r="A1288" s="1"/>
      <c r="B1288" s="36">
        <v>1320</v>
      </c>
      <c r="C1288" s="36" t="s">
        <v>2852</v>
      </c>
      <c r="D1288" s="36" t="s">
        <v>2853</v>
      </c>
      <c r="E1288" s="36">
        <v>814.2</v>
      </c>
      <c r="F1288" s="39">
        <v>1600</v>
      </c>
      <c r="G1288" s="39" t="s">
        <v>2882</v>
      </c>
      <c r="H1288" s="39" t="s">
        <v>56</v>
      </c>
      <c r="I1288" s="39" t="s">
        <v>24</v>
      </c>
      <c r="J1288" s="51" t="s">
        <v>398</v>
      </c>
      <c r="K1288" s="36" t="s">
        <v>2884</v>
      </c>
    </row>
    <row r="1289" spans="1:11" ht="90" x14ac:dyDescent="0.25">
      <c r="A1289" s="1"/>
      <c r="B1289" s="36">
        <v>1321</v>
      </c>
      <c r="C1289" s="36" t="s">
        <v>2854</v>
      </c>
      <c r="D1289" s="36" t="s">
        <v>2855</v>
      </c>
      <c r="E1289" s="36" t="s">
        <v>2944</v>
      </c>
      <c r="F1289" s="39">
        <v>60188.800000000003</v>
      </c>
      <c r="G1289" s="39" t="s">
        <v>2882</v>
      </c>
      <c r="H1289" s="39" t="s">
        <v>56</v>
      </c>
      <c r="I1289" s="39" t="s">
        <v>24</v>
      </c>
      <c r="J1289" s="51" t="s">
        <v>112</v>
      </c>
      <c r="K1289" s="36" t="s">
        <v>2885</v>
      </c>
    </row>
    <row r="1290" spans="1:11" ht="45.75" x14ac:dyDescent="0.25">
      <c r="A1290" s="1"/>
      <c r="B1290" s="36">
        <v>1322</v>
      </c>
      <c r="C1290" s="36" t="s">
        <v>2856</v>
      </c>
      <c r="D1290" s="36" t="s">
        <v>2857</v>
      </c>
      <c r="E1290" s="36" t="s">
        <v>2918</v>
      </c>
      <c r="F1290" s="39">
        <v>4050</v>
      </c>
      <c r="G1290" s="39" t="s">
        <v>2882</v>
      </c>
      <c r="H1290" s="39" t="s">
        <v>56</v>
      </c>
      <c r="I1290" s="39" t="s">
        <v>24</v>
      </c>
      <c r="J1290" s="46" t="s">
        <v>6</v>
      </c>
      <c r="K1290" s="36" t="s">
        <v>2917</v>
      </c>
    </row>
    <row r="1291" spans="1:11" ht="45" x14ac:dyDescent="0.25">
      <c r="A1291" s="1"/>
      <c r="B1291" s="36">
        <v>1323</v>
      </c>
      <c r="C1291" s="36" t="s">
        <v>120</v>
      </c>
      <c r="D1291" s="36" t="s">
        <v>2390</v>
      </c>
      <c r="E1291" s="36">
        <v>354</v>
      </c>
      <c r="F1291" s="39">
        <v>354</v>
      </c>
      <c r="G1291" s="39" t="s">
        <v>2886</v>
      </c>
      <c r="H1291" s="39" t="s">
        <v>56</v>
      </c>
      <c r="I1291" s="39" t="s">
        <v>24</v>
      </c>
      <c r="J1291" s="51" t="s">
        <v>3</v>
      </c>
      <c r="K1291" s="36" t="s">
        <v>2916</v>
      </c>
    </row>
    <row r="1292" spans="1:11" ht="45.75" x14ac:dyDescent="0.25">
      <c r="A1292" s="1"/>
      <c r="B1292" s="36">
        <v>1324</v>
      </c>
      <c r="C1292" s="36" t="s">
        <v>2858</v>
      </c>
      <c r="D1292" s="36" t="s">
        <v>2859</v>
      </c>
      <c r="E1292" s="36" t="s">
        <v>2943</v>
      </c>
      <c r="F1292" s="39">
        <v>4929</v>
      </c>
      <c r="G1292" s="39" t="s">
        <v>2886</v>
      </c>
      <c r="H1292" s="39" t="s">
        <v>56</v>
      </c>
      <c r="I1292" s="39" t="s">
        <v>24</v>
      </c>
      <c r="J1292" s="46" t="s">
        <v>6</v>
      </c>
      <c r="K1292" s="52" t="s">
        <v>2942</v>
      </c>
    </row>
    <row r="1293" spans="1:11" ht="45" x14ac:dyDescent="0.25">
      <c r="A1293" s="1"/>
      <c r="B1293" s="36">
        <v>1325</v>
      </c>
      <c r="C1293" s="36" t="s">
        <v>886</v>
      </c>
      <c r="D1293" s="36" t="s">
        <v>232</v>
      </c>
      <c r="E1293" s="36" t="s">
        <v>2929</v>
      </c>
      <c r="F1293" s="39" t="s">
        <v>2929</v>
      </c>
      <c r="G1293" s="39" t="s">
        <v>2886</v>
      </c>
      <c r="H1293" s="39" t="s">
        <v>56</v>
      </c>
      <c r="I1293" s="39" t="s">
        <v>24</v>
      </c>
      <c r="J1293" s="51" t="s">
        <v>3</v>
      </c>
      <c r="K1293" s="52" t="s">
        <v>2926</v>
      </c>
    </row>
    <row r="1294" spans="1:11" ht="45" x14ac:dyDescent="0.25">
      <c r="A1294" s="1"/>
      <c r="B1294" s="36">
        <v>1326</v>
      </c>
      <c r="C1294" s="36" t="s">
        <v>1913</v>
      </c>
      <c r="D1294" s="36" t="s">
        <v>110</v>
      </c>
      <c r="E1294" s="36" t="s">
        <v>2915</v>
      </c>
      <c r="F1294" s="39">
        <v>1100</v>
      </c>
      <c r="G1294" s="39" t="s">
        <v>2886</v>
      </c>
      <c r="H1294" s="39" t="s">
        <v>56</v>
      </c>
      <c r="I1294" s="39" t="s">
        <v>24</v>
      </c>
      <c r="J1294" s="51" t="s">
        <v>3</v>
      </c>
      <c r="K1294" s="36" t="s">
        <v>2914</v>
      </c>
    </row>
    <row r="1295" spans="1:11" ht="45.75" x14ac:dyDescent="0.25">
      <c r="A1295" s="1"/>
      <c r="B1295" s="36">
        <v>1327</v>
      </c>
      <c r="C1295" s="36" t="s">
        <v>654</v>
      </c>
      <c r="D1295" s="36" t="s">
        <v>2860</v>
      </c>
      <c r="E1295" s="36">
        <v>100</v>
      </c>
      <c r="F1295" s="39">
        <v>100</v>
      </c>
      <c r="G1295" s="39" t="s">
        <v>2887</v>
      </c>
      <c r="H1295" s="39" t="s">
        <v>56</v>
      </c>
      <c r="I1295" s="39" t="s">
        <v>24</v>
      </c>
      <c r="J1295" s="46" t="s">
        <v>6</v>
      </c>
      <c r="K1295" s="36" t="s">
        <v>2888</v>
      </c>
    </row>
    <row r="1296" spans="1:11" ht="45" x14ac:dyDescent="0.25">
      <c r="A1296" s="1"/>
      <c r="B1296" s="52">
        <v>1328</v>
      </c>
      <c r="C1296" s="52" t="s">
        <v>277</v>
      </c>
      <c r="D1296" s="52" t="s">
        <v>278</v>
      </c>
      <c r="E1296" s="36" t="s">
        <v>3011</v>
      </c>
      <c r="F1296" s="61">
        <v>1421</v>
      </c>
      <c r="G1296" s="61" t="s">
        <v>2887</v>
      </c>
      <c r="H1296" s="61" t="s">
        <v>56</v>
      </c>
      <c r="I1296" s="61" t="s">
        <v>24</v>
      </c>
      <c r="J1296" s="52" t="s">
        <v>3</v>
      </c>
      <c r="K1296" s="52" t="s">
        <v>3006</v>
      </c>
    </row>
    <row r="1297" spans="1:11" ht="45" x14ac:dyDescent="0.25">
      <c r="A1297" s="1"/>
      <c r="B1297" s="52">
        <v>1329</v>
      </c>
      <c r="C1297" s="52" t="s">
        <v>1903</v>
      </c>
      <c r="D1297" s="52" t="s">
        <v>278</v>
      </c>
      <c r="E1297" s="36" t="s">
        <v>3012</v>
      </c>
      <c r="F1297" s="61">
        <v>2384</v>
      </c>
      <c r="G1297" s="61" t="s">
        <v>2887</v>
      </c>
      <c r="H1297" s="61" t="s">
        <v>56</v>
      </c>
      <c r="I1297" s="61" t="s">
        <v>24</v>
      </c>
      <c r="J1297" s="52" t="s">
        <v>3</v>
      </c>
      <c r="K1297" s="52" t="s">
        <v>3007</v>
      </c>
    </row>
    <row r="1298" spans="1:11" ht="45" x14ac:dyDescent="0.25">
      <c r="A1298" s="1"/>
      <c r="B1298" s="52">
        <v>1330</v>
      </c>
      <c r="C1298" s="52" t="s">
        <v>277</v>
      </c>
      <c r="D1298" s="52" t="s">
        <v>278</v>
      </c>
      <c r="E1298" s="36" t="s">
        <v>3014</v>
      </c>
      <c r="F1298" s="61">
        <v>6200.8</v>
      </c>
      <c r="G1298" s="61" t="s">
        <v>2887</v>
      </c>
      <c r="H1298" s="61" t="s">
        <v>56</v>
      </c>
      <c r="I1298" s="61" t="s">
        <v>24</v>
      </c>
      <c r="J1298" s="52" t="s">
        <v>3</v>
      </c>
      <c r="K1298" s="52" t="s">
        <v>3008</v>
      </c>
    </row>
    <row r="1299" spans="1:11" ht="45" x14ac:dyDescent="0.25">
      <c r="A1299" s="1"/>
      <c r="B1299" s="52">
        <v>1331</v>
      </c>
      <c r="C1299" s="52" t="s">
        <v>277</v>
      </c>
      <c r="D1299" s="52" t="s">
        <v>278</v>
      </c>
      <c r="E1299" s="36" t="s">
        <v>3015</v>
      </c>
      <c r="F1299" s="61">
        <v>5030</v>
      </c>
      <c r="G1299" s="61" t="s">
        <v>2887</v>
      </c>
      <c r="H1299" s="61" t="s">
        <v>56</v>
      </c>
      <c r="I1299" s="61" t="s">
        <v>24</v>
      </c>
      <c r="J1299" s="52" t="s">
        <v>3</v>
      </c>
      <c r="K1299" s="52" t="s">
        <v>3009</v>
      </c>
    </row>
    <row r="1300" spans="1:11" ht="45" x14ac:dyDescent="0.25">
      <c r="A1300" s="1"/>
      <c r="B1300" s="52">
        <v>1332</v>
      </c>
      <c r="C1300" s="52" t="s">
        <v>1903</v>
      </c>
      <c r="D1300" s="52" t="s">
        <v>278</v>
      </c>
      <c r="E1300" s="36" t="s">
        <v>3050</v>
      </c>
      <c r="F1300" s="61">
        <v>4193</v>
      </c>
      <c r="G1300" s="61" t="s">
        <v>2887</v>
      </c>
      <c r="H1300" s="61" t="s">
        <v>56</v>
      </c>
      <c r="I1300" s="61" t="s">
        <v>24</v>
      </c>
      <c r="J1300" s="52" t="s">
        <v>3</v>
      </c>
      <c r="K1300" s="52" t="s">
        <v>3010</v>
      </c>
    </row>
    <row r="1301" spans="1:11" ht="45" x14ac:dyDescent="0.25">
      <c r="A1301" s="1"/>
      <c r="B1301" s="52">
        <v>1333</v>
      </c>
      <c r="C1301" s="52" t="s">
        <v>120</v>
      </c>
      <c r="D1301" s="52" t="s">
        <v>1156</v>
      </c>
      <c r="E1301" s="36" t="s">
        <v>2993</v>
      </c>
      <c r="F1301" s="61">
        <v>3290</v>
      </c>
      <c r="G1301" s="61" t="s">
        <v>2935</v>
      </c>
      <c r="H1301" s="61" t="s">
        <v>56</v>
      </c>
      <c r="I1301" s="61" t="s">
        <v>24</v>
      </c>
      <c r="J1301" s="52" t="s">
        <v>3</v>
      </c>
      <c r="K1301" s="52" t="s">
        <v>2936</v>
      </c>
    </row>
    <row r="1302" spans="1:11" ht="45" x14ac:dyDescent="0.25">
      <c r="A1302" s="1"/>
      <c r="B1302" s="52">
        <v>1334</v>
      </c>
      <c r="C1302" s="52" t="s">
        <v>650</v>
      </c>
      <c r="D1302" s="52" t="s">
        <v>2390</v>
      </c>
      <c r="E1302" s="36">
        <v>377.6</v>
      </c>
      <c r="F1302" s="61">
        <v>377.6</v>
      </c>
      <c r="G1302" s="61" t="s">
        <v>2935</v>
      </c>
      <c r="H1302" s="61" t="s">
        <v>56</v>
      </c>
      <c r="I1302" s="61" t="s">
        <v>24</v>
      </c>
      <c r="J1302" s="52" t="s">
        <v>3</v>
      </c>
      <c r="K1302" s="52" t="s">
        <v>2995</v>
      </c>
    </row>
    <row r="1303" spans="1:11" ht="45" x14ac:dyDescent="0.25">
      <c r="A1303" s="1"/>
      <c r="B1303" s="52">
        <v>1335</v>
      </c>
      <c r="C1303" s="52" t="s">
        <v>2932</v>
      </c>
      <c r="D1303" s="52" t="s">
        <v>2933</v>
      </c>
      <c r="E1303" s="36">
        <f>809+1050</f>
        <v>1859</v>
      </c>
      <c r="F1303" s="61" t="s">
        <v>3052</v>
      </c>
      <c r="G1303" s="61" t="s">
        <v>2937</v>
      </c>
      <c r="H1303" s="61" t="s">
        <v>56</v>
      </c>
      <c r="I1303" s="61" t="s">
        <v>24</v>
      </c>
      <c r="J1303" s="52" t="s">
        <v>826</v>
      </c>
      <c r="K1303" s="52" t="s">
        <v>2938</v>
      </c>
    </row>
    <row r="1304" spans="1:11" ht="45" x14ac:dyDescent="0.25">
      <c r="A1304" s="1"/>
      <c r="B1304" s="52">
        <v>1336</v>
      </c>
      <c r="C1304" s="52" t="s">
        <v>3017</v>
      </c>
      <c r="D1304" s="52" t="s">
        <v>3018</v>
      </c>
      <c r="E1304" s="36">
        <v>400</v>
      </c>
      <c r="F1304" s="61">
        <v>400</v>
      </c>
      <c r="G1304" s="61" t="s">
        <v>2937</v>
      </c>
      <c r="H1304" s="61" t="s">
        <v>28</v>
      </c>
      <c r="I1304" s="61" t="s">
        <v>24</v>
      </c>
      <c r="J1304" s="52" t="s">
        <v>826</v>
      </c>
      <c r="K1304" s="52" t="s">
        <v>3019</v>
      </c>
    </row>
    <row r="1305" spans="1:11" ht="45" x14ac:dyDescent="0.25">
      <c r="A1305" s="1"/>
      <c r="B1305" s="52">
        <v>1337</v>
      </c>
      <c r="C1305" s="52" t="s">
        <v>109</v>
      </c>
      <c r="D1305" s="52" t="s">
        <v>110</v>
      </c>
      <c r="E1305" s="36" t="s">
        <v>1204</v>
      </c>
      <c r="F1305" s="61">
        <v>1200</v>
      </c>
      <c r="G1305" s="61" t="s">
        <v>2939</v>
      </c>
      <c r="H1305" s="61" t="s">
        <v>56</v>
      </c>
      <c r="I1305" s="61" t="s">
        <v>24</v>
      </c>
      <c r="J1305" s="52" t="s">
        <v>3</v>
      </c>
      <c r="K1305" s="52" t="s">
        <v>2940</v>
      </c>
    </row>
    <row r="1306" spans="1:11" ht="45" x14ac:dyDescent="0.25">
      <c r="A1306" s="1"/>
      <c r="B1306" s="52">
        <v>1338</v>
      </c>
      <c r="C1306" s="52" t="s">
        <v>931</v>
      </c>
      <c r="D1306" s="52" t="s">
        <v>1156</v>
      </c>
      <c r="E1306" s="36">
        <v>380</v>
      </c>
      <c r="F1306" s="61">
        <v>380</v>
      </c>
      <c r="G1306" s="61" t="s">
        <v>2939</v>
      </c>
      <c r="H1306" s="61" t="s">
        <v>56</v>
      </c>
      <c r="I1306" s="61" t="s">
        <v>24</v>
      </c>
      <c r="J1306" s="52" t="s">
        <v>3</v>
      </c>
      <c r="K1306" s="52" t="s">
        <v>2999</v>
      </c>
    </row>
    <row r="1307" spans="1:11" ht="90" x14ac:dyDescent="0.25">
      <c r="A1307" s="1"/>
      <c r="B1307" s="52">
        <v>1340</v>
      </c>
      <c r="C1307" s="52" t="s">
        <v>2934</v>
      </c>
      <c r="D1307" s="52" t="s">
        <v>338</v>
      </c>
      <c r="E1307" s="36" t="s">
        <v>3054</v>
      </c>
      <c r="F1307" s="61">
        <v>475000</v>
      </c>
      <c r="G1307" s="61" t="s">
        <v>2939</v>
      </c>
      <c r="H1307" s="61" t="s">
        <v>56</v>
      </c>
      <c r="I1307" s="61" t="s">
        <v>24</v>
      </c>
      <c r="J1307" s="52" t="s">
        <v>398</v>
      </c>
      <c r="K1307" s="52" t="s">
        <v>2941</v>
      </c>
    </row>
    <row r="1308" spans="1:11" ht="45" x14ac:dyDescent="0.25">
      <c r="A1308" s="1"/>
      <c r="B1308" s="52">
        <v>1341</v>
      </c>
      <c r="C1308" s="52" t="s">
        <v>1343</v>
      </c>
      <c r="D1308" s="52" t="s">
        <v>232</v>
      </c>
      <c r="E1308" s="36" t="s">
        <v>3004</v>
      </c>
      <c r="F1308" s="61">
        <v>3062.5</v>
      </c>
      <c r="G1308" s="61" t="s">
        <v>2959</v>
      </c>
      <c r="H1308" s="61" t="s">
        <v>28</v>
      </c>
      <c r="I1308" s="61" t="s">
        <v>24</v>
      </c>
      <c r="J1308" s="52" t="s">
        <v>3</v>
      </c>
      <c r="K1308" s="52" t="s">
        <v>2960</v>
      </c>
    </row>
    <row r="1309" spans="1:11" ht="45" x14ac:dyDescent="0.25">
      <c r="A1309" s="1"/>
      <c r="B1309" s="52">
        <v>1342</v>
      </c>
      <c r="C1309" s="52" t="s">
        <v>1343</v>
      </c>
      <c r="D1309" s="52" t="s">
        <v>110</v>
      </c>
      <c r="E1309" s="36" t="s">
        <v>3005</v>
      </c>
      <c r="F1309" s="61">
        <v>4081.25</v>
      </c>
      <c r="G1309" s="61" t="s">
        <v>2959</v>
      </c>
      <c r="H1309" s="61" t="s">
        <v>28</v>
      </c>
      <c r="I1309" s="61" t="s">
        <v>24</v>
      </c>
      <c r="J1309" s="52" t="s">
        <v>3</v>
      </c>
      <c r="K1309" s="52" t="s">
        <v>2961</v>
      </c>
    </row>
    <row r="1310" spans="1:11" ht="90" x14ac:dyDescent="0.25">
      <c r="A1310" s="1"/>
      <c r="B1310" s="52">
        <v>1343</v>
      </c>
      <c r="C1310" s="52" t="s">
        <v>2945</v>
      </c>
      <c r="D1310" s="52" t="s">
        <v>338</v>
      </c>
      <c r="E1310" s="36" t="s">
        <v>2989</v>
      </c>
      <c r="F1310" s="61">
        <v>483190.4</v>
      </c>
      <c r="G1310" s="61" t="s">
        <v>2962</v>
      </c>
      <c r="H1310" s="61" t="s">
        <v>28</v>
      </c>
      <c r="I1310" s="61" t="s">
        <v>24</v>
      </c>
      <c r="J1310" s="52" t="s">
        <v>398</v>
      </c>
      <c r="K1310" s="52" t="s">
        <v>2963</v>
      </c>
    </row>
    <row r="1311" spans="1:11" ht="45" x14ac:dyDescent="0.25">
      <c r="A1311" s="1"/>
      <c r="B1311" s="52">
        <v>1344</v>
      </c>
      <c r="C1311" s="52" t="s">
        <v>317</v>
      </c>
      <c r="D1311" s="52" t="s">
        <v>93</v>
      </c>
      <c r="E1311" s="36">
        <v>442</v>
      </c>
      <c r="F1311" s="61">
        <v>442</v>
      </c>
      <c r="G1311" s="61" t="s">
        <v>2964</v>
      </c>
      <c r="H1311" s="61" t="s">
        <v>28</v>
      </c>
      <c r="I1311" s="61" t="s">
        <v>24</v>
      </c>
      <c r="J1311" s="52" t="s">
        <v>3</v>
      </c>
      <c r="K1311" s="52" t="s">
        <v>2965</v>
      </c>
    </row>
    <row r="1312" spans="1:11" ht="11.25" x14ac:dyDescent="0.25">
      <c r="A1312" s="1"/>
      <c r="B1312" s="52">
        <v>1345</v>
      </c>
      <c r="C1312" s="52" t="s">
        <v>2946</v>
      </c>
      <c r="D1312" s="52" t="s">
        <v>141</v>
      </c>
      <c r="E1312" s="36">
        <v>19444</v>
      </c>
      <c r="F1312" s="61">
        <v>19444</v>
      </c>
      <c r="G1312" s="61" t="s">
        <v>2964</v>
      </c>
      <c r="H1312" s="61" t="s">
        <v>28</v>
      </c>
      <c r="I1312" s="61" t="s">
        <v>24</v>
      </c>
      <c r="J1312" s="52" t="s">
        <v>2966</v>
      </c>
      <c r="K1312" s="52"/>
    </row>
    <row r="1313" spans="1:11" ht="90" x14ac:dyDescent="0.25">
      <c r="A1313" s="1"/>
      <c r="B1313" s="52">
        <v>1346</v>
      </c>
      <c r="C1313" s="52" t="s">
        <v>1152</v>
      </c>
      <c r="D1313" s="52" t="s">
        <v>2947</v>
      </c>
      <c r="E1313" s="36" t="s">
        <v>3001</v>
      </c>
      <c r="F1313" s="61">
        <v>314937.23</v>
      </c>
      <c r="G1313" s="61" t="s">
        <v>2964</v>
      </c>
      <c r="H1313" s="61" t="s">
        <v>28</v>
      </c>
      <c r="I1313" s="61" t="s">
        <v>24</v>
      </c>
      <c r="J1313" s="52" t="s">
        <v>2967</v>
      </c>
      <c r="K1313" s="52" t="s">
        <v>2968</v>
      </c>
    </row>
    <row r="1314" spans="1:11" ht="90" x14ac:dyDescent="0.25">
      <c r="A1314" s="1"/>
      <c r="B1314" s="52">
        <v>1347</v>
      </c>
      <c r="C1314" s="52" t="s">
        <v>345</v>
      </c>
      <c r="D1314" s="52" t="s">
        <v>2948</v>
      </c>
      <c r="E1314" s="36" t="s">
        <v>3032</v>
      </c>
      <c r="F1314" s="61">
        <v>248716.6</v>
      </c>
      <c r="G1314" s="61" t="s">
        <v>2964</v>
      </c>
      <c r="H1314" s="61" t="s">
        <v>28</v>
      </c>
      <c r="I1314" s="61" t="s">
        <v>24</v>
      </c>
      <c r="J1314" s="52" t="s">
        <v>2969</v>
      </c>
      <c r="K1314" s="52" t="s">
        <v>2970</v>
      </c>
    </row>
    <row r="1315" spans="1:11" ht="90" x14ac:dyDescent="0.25">
      <c r="A1315" s="1"/>
      <c r="B1315" s="52">
        <v>1348</v>
      </c>
      <c r="C1315" s="52" t="s">
        <v>2949</v>
      </c>
      <c r="D1315" s="52" t="s">
        <v>338</v>
      </c>
      <c r="E1315" s="36" t="s">
        <v>3003</v>
      </c>
      <c r="F1315" s="61">
        <v>146300</v>
      </c>
      <c r="G1315" s="61" t="s">
        <v>2971</v>
      </c>
      <c r="H1315" s="61" t="s">
        <v>28</v>
      </c>
      <c r="I1315" s="61" t="s">
        <v>24</v>
      </c>
      <c r="J1315" s="52" t="s">
        <v>398</v>
      </c>
      <c r="K1315" s="52" t="s">
        <v>2972</v>
      </c>
    </row>
    <row r="1316" spans="1:11" ht="45" x14ac:dyDescent="0.25">
      <c r="A1316" s="1"/>
      <c r="B1316" s="52">
        <v>1349</v>
      </c>
      <c r="C1316" s="52" t="s">
        <v>109</v>
      </c>
      <c r="D1316" s="52" t="s">
        <v>110</v>
      </c>
      <c r="E1316" s="36" t="s">
        <v>3013</v>
      </c>
      <c r="F1316" s="61">
        <v>5000</v>
      </c>
      <c r="G1316" s="61" t="s">
        <v>2971</v>
      </c>
      <c r="H1316" s="61" t="s">
        <v>28</v>
      </c>
      <c r="I1316" s="61" t="s">
        <v>24</v>
      </c>
      <c r="J1316" s="52" t="s">
        <v>3</v>
      </c>
      <c r="K1316" s="52" t="s">
        <v>2973</v>
      </c>
    </row>
    <row r="1317" spans="1:11" ht="45" x14ac:dyDescent="0.25">
      <c r="A1317" s="1"/>
      <c r="B1317" s="52">
        <v>1350</v>
      </c>
      <c r="C1317" s="52" t="s">
        <v>126</v>
      </c>
      <c r="D1317" s="52" t="s">
        <v>108</v>
      </c>
      <c r="E1317" s="36" t="s">
        <v>3042</v>
      </c>
      <c r="F1317" s="61">
        <v>1800</v>
      </c>
      <c r="G1317" s="61" t="s">
        <v>2971</v>
      </c>
      <c r="H1317" s="61" t="s">
        <v>28</v>
      </c>
      <c r="I1317" s="61" t="s">
        <v>24</v>
      </c>
      <c r="J1317" s="52" t="s">
        <v>3</v>
      </c>
      <c r="K1317" s="52" t="s">
        <v>2974</v>
      </c>
    </row>
    <row r="1318" spans="1:11" ht="45" x14ac:dyDescent="0.25">
      <c r="A1318" s="1"/>
      <c r="B1318" s="52">
        <v>1351</v>
      </c>
      <c r="C1318" s="52" t="s">
        <v>266</v>
      </c>
      <c r="D1318" s="52" t="s">
        <v>108</v>
      </c>
      <c r="E1318" s="36" t="s">
        <v>3051</v>
      </c>
      <c r="F1318" s="61">
        <v>1800</v>
      </c>
      <c r="G1318" s="61" t="s">
        <v>2971</v>
      </c>
      <c r="H1318" s="61" t="s">
        <v>28</v>
      </c>
      <c r="I1318" s="61" t="s">
        <v>24</v>
      </c>
      <c r="J1318" s="52" t="s">
        <v>3</v>
      </c>
      <c r="K1318" s="52" t="s">
        <v>2975</v>
      </c>
    </row>
    <row r="1319" spans="1:11" ht="45" x14ac:dyDescent="0.25">
      <c r="A1319" s="1"/>
      <c r="B1319" s="52">
        <v>1352</v>
      </c>
      <c r="C1319" s="52" t="s">
        <v>2950</v>
      </c>
      <c r="D1319" s="52" t="s">
        <v>108</v>
      </c>
      <c r="E1319" s="36">
        <v>675.4</v>
      </c>
      <c r="F1319" s="61">
        <v>2160</v>
      </c>
      <c r="G1319" s="61" t="s">
        <v>2971</v>
      </c>
      <c r="H1319" s="61" t="s">
        <v>28</v>
      </c>
      <c r="I1319" s="61" t="s">
        <v>24</v>
      </c>
      <c r="J1319" s="52" t="s">
        <v>3</v>
      </c>
      <c r="K1319" s="52" t="s">
        <v>2976</v>
      </c>
    </row>
    <row r="1320" spans="1:11" ht="45" x14ac:dyDescent="0.25">
      <c r="A1320" s="1"/>
      <c r="B1320" s="52">
        <v>1353</v>
      </c>
      <c r="C1320" s="52" t="s">
        <v>2950</v>
      </c>
      <c r="D1320" s="52" t="s">
        <v>108</v>
      </c>
      <c r="E1320" s="36" t="s">
        <v>304</v>
      </c>
      <c r="F1320" s="61">
        <v>2410</v>
      </c>
      <c r="G1320" s="61" t="s">
        <v>2971</v>
      </c>
      <c r="H1320" s="61" t="s">
        <v>28</v>
      </c>
      <c r="I1320" s="61" t="s">
        <v>24</v>
      </c>
      <c r="J1320" s="52" t="s">
        <v>3</v>
      </c>
      <c r="K1320" s="52" t="s">
        <v>2977</v>
      </c>
    </row>
    <row r="1321" spans="1:11" ht="45" x14ac:dyDescent="0.25">
      <c r="A1321" s="1"/>
      <c r="B1321" s="52">
        <v>1354</v>
      </c>
      <c r="C1321" s="52" t="s">
        <v>109</v>
      </c>
      <c r="D1321" s="52" t="s">
        <v>110</v>
      </c>
      <c r="E1321" s="36" t="s">
        <v>3000</v>
      </c>
      <c r="F1321" s="61">
        <v>5400</v>
      </c>
      <c r="G1321" s="61" t="s">
        <v>2971</v>
      </c>
      <c r="H1321" s="61" t="s">
        <v>28</v>
      </c>
      <c r="I1321" s="61" t="s">
        <v>24</v>
      </c>
      <c r="J1321" s="52" t="s">
        <v>3</v>
      </c>
      <c r="K1321" s="52" t="s">
        <v>2978</v>
      </c>
    </row>
    <row r="1322" spans="1:11" ht="45" x14ac:dyDescent="0.25">
      <c r="A1322" s="1"/>
      <c r="B1322" s="52">
        <v>1355</v>
      </c>
      <c r="C1322" s="52" t="s">
        <v>2951</v>
      </c>
      <c r="D1322" s="52" t="s">
        <v>108</v>
      </c>
      <c r="E1322" s="36" t="s">
        <v>3002</v>
      </c>
      <c r="F1322" s="61">
        <v>1200</v>
      </c>
      <c r="G1322" s="61" t="s">
        <v>2971</v>
      </c>
      <c r="H1322" s="61" t="s">
        <v>28</v>
      </c>
      <c r="I1322" s="61" t="s">
        <v>24</v>
      </c>
      <c r="J1322" s="52" t="s">
        <v>3</v>
      </c>
      <c r="K1322" s="52" t="s">
        <v>2979</v>
      </c>
    </row>
    <row r="1323" spans="1:11" ht="45" x14ac:dyDescent="0.25">
      <c r="A1323" s="1"/>
      <c r="B1323" s="52">
        <v>1356</v>
      </c>
      <c r="C1323" s="52" t="s">
        <v>126</v>
      </c>
      <c r="D1323" s="52" t="s">
        <v>1156</v>
      </c>
      <c r="E1323" s="36" t="s">
        <v>1498</v>
      </c>
      <c r="F1323" s="61">
        <v>8400</v>
      </c>
      <c r="G1323" s="61" t="s">
        <v>2971</v>
      </c>
      <c r="H1323" s="61" t="s">
        <v>28</v>
      </c>
      <c r="I1323" s="61" t="s">
        <v>24</v>
      </c>
      <c r="J1323" s="52" t="s">
        <v>3</v>
      </c>
      <c r="K1323" s="52" t="s">
        <v>2980</v>
      </c>
    </row>
    <row r="1324" spans="1:11" ht="45" x14ac:dyDescent="0.25">
      <c r="A1324" s="1"/>
      <c r="B1324" s="52">
        <v>1357</v>
      </c>
      <c r="C1324" s="52" t="s">
        <v>2724</v>
      </c>
      <c r="D1324" s="52" t="s">
        <v>108</v>
      </c>
      <c r="E1324" s="36" t="s">
        <v>3033</v>
      </c>
      <c r="F1324" s="61">
        <v>9000</v>
      </c>
      <c r="G1324" s="61" t="s">
        <v>2981</v>
      </c>
      <c r="H1324" s="61" t="s">
        <v>28</v>
      </c>
      <c r="I1324" s="61" t="s">
        <v>24</v>
      </c>
      <c r="J1324" s="52" t="s">
        <v>3</v>
      </c>
      <c r="K1324" s="52" t="s">
        <v>2982</v>
      </c>
    </row>
    <row r="1325" spans="1:11" ht="45" x14ac:dyDescent="0.25">
      <c r="A1325" s="1"/>
      <c r="B1325" s="52">
        <v>1358</v>
      </c>
      <c r="C1325" s="52" t="s">
        <v>2952</v>
      </c>
      <c r="D1325" s="52" t="s">
        <v>2953</v>
      </c>
      <c r="E1325" s="36" t="s">
        <v>3031</v>
      </c>
      <c r="F1325" s="61">
        <v>4439</v>
      </c>
      <c r="G1325" s="61" t="s">
        <v>2981</v>
      </c>
      <c r="H1325" s="61" t="s">
        <v>28</v>
      </c>
      <c r="I1325" s="61" t="s">
        <v>24</v>
      </c>
      <c r="J1325" s="52" t="s">
        <v>826</v>
      </c>
      <c r="K1325" s="52" t="s">
        <v>2983</v>
      </c>
    </row>
    <row r="1326" spans="1:11" ht="45" x14ac:dyDescent="0.25">
      <c r="A1326" s="1"/>
      <c r="B1326" s="52">
        <v>1359</v>
      </c>
      <c r="C1326" s="52" t="s">
        <v>2375</v>
      </c>
      <c r="D1326" s="52" t="s">
        <v>2954</v>
      </c>
      <c r="E1326" s="36">
        <v>50</v>
      </c>
      <c r="F1326" s="61">
        <v>50</v>
      </c>
      <c r="G1326" s="61" t="s">
        <v>2984</v>
      </c>
      <c r="H1326" s="61" t="s">
        <v>28</v>
      </c>
      <c r="I1326" s="61" t="s">
        <v>24</v>
      </c>
      <c r="J1326" s="52" t="s">
        <v>826</v>
      </c>
      <c r="K1326" s="52" t="s">
        <v>3053</v>
      </c>
    </row>
    <row r="1327" spans="1:11" ht="45" x14ac:dyDescent="0.25">
      <c r="A1327" s="1"/>
      <c r="B1327" s="52">
        <v>1360</v>
      </c>
      <c r="C1327" s="52" t="s">
        <v>2955</v>
      </c>
      <c r="D1327" s="52" t="s">
        <v>2956</v>
      </c>
      <c r="E1327" s="36">
        <v>559</v>
      </c>
      <c r="F1327" s="61">
        <v>559</v>
      </c>
      <c r="G1327" s="61" t="s">
        <v>2984</v>
      </c>
      <c r="H1327" s="61" t="s">
        <v>28</v>
      </c>
      <c r="I1327" s="61" t="s">
        <v>24</v>
      </c>
      <c r="J1327" s="52" t="s">
        <v>826</v>
      </c>
      <c r="K1327" s="52" t="s">
        <v>2985</v>
      </c>
    </row>
    <row r="1328" spans="1:11" ht="45" x14ac:dyDescent="0.25">
      <c r="A1328" s="1"/>
      <c r="B1328" s="52">
        <v>1361</v>
      </c>
      <c r="C1328" s="52" t="s">
        <v>99</v>
      </c>
      <c r="D1328" s="52" t="s">
        <v>108</v>
      </c>
      <c r="E1328" s="36" t="s">
        <v>579</v>
      </c>
      <c r="F1328" s="61">
        <v>1500</v>
      </c>
      <c r="G1328" s="61" t="s">
        <v>2986</v>
      </c>
      <c r="H1328" s="61" t="s">
        <v>28</v>
      </c>
      <c r="I1328" s="61" t="s">
        <v>24</v>
      </c>
      <c r="J1328" s="52" t="s">
        <v>3</v>
      </c>
      <c r="K1328" s="52" t="s">
        <v>3034</v>
      </c>
    </row>
    <row r="1329" spans="1:11" ht="45" x14ac:dyDescent="0.25">
      <c r="A1329" s="1"/>
      <c r="B1329" s="52">
        <v>1362</v>
      </c>
      <c r="C1329" s="52" t="s">
        <v>99</v>
      </c>
      <c r="D1329" s="52" t="s">
        <v>108</v>
      </c>
      <c r="E1329" s="36">
        <v>596.97</v>
      </c>
      <c r="F1329" s="61">
        <v>750</v>
      </c>
      <c r="G1329" s="61" t="s">
        <v>2986</v>
      </c>
      <c r="H1329" s="61" t="s">
        <v>28</v>
      </c>
      <c r="I1329" s="61" t="s">
        <v>24</v>
      </c>
      <c r="J1329" s="52" t="s">
        <v>3</v>
      </c>
      <c r="K1329" s="52" t="s">
        <v>3035</v>
      </c>
    </row>
    <row r="1330" spans="1:11" ht="45" x14ac:dyDescent="0.25">
      <c r="A1330" s="1"/>
      <c r="B1330" s="52">
        <v>1363</v>
      </c>
      <c r="C1330" s="52" t="s">
        <v>736</v>
      </c>
      <c r="D1330" s="52" t="s">
        <v>108</v>
      </c>
      <c r="E1330" s="36">
        <v>748</v>
      </c>
      <c r="F1330" s="61">
        <v>1700</v>
      </c>
      <c r="G1330" s="61" t="s">
        <v>2986</v>
      </c>
      <c r="H1330" s="61" t="s">
        <v>28</v>
      </c>
      <c r="I1330" s="61" t="s">
        <v>24</v>
      </c>
      <c r="J1330" s="52" t="s">
        <v>3</v>
      </c>
      <c r="K1330" s="52" t="s">
        <v>3036</v>
      </c>
    </row>
    <row r="1331" spans="1:11" ht="45" x14ac:dyDescent="0.25">
      <c r="A1331" s="1"/>
      <c r="B1331" s="52">
        <v>1364</v>
      </c>
      <c r="C1331" s="52" t="s">
        <v>736</v>
      </c>
      <c r="D1331" s="52" t="s">
        <v>1156</v>
      </c>
      <c r="E1331" s="36" t="s">
        <v>3040</v>
      </c>
      <c r="F1331" s="61">
        <v>6800</v>
      </c>
      <c r="G1331" s="61" t="s">
        <v>2986</v>
      </c>
      <c r="H1331" s="61" t="s">
        <v>28</v>
      </c>
      <c r="I1331" s="61" t="s">
        <v>24</v>
      </c>
      <c r="J1331" s="52" t="s">
        <v>3</v>
      </c>
      <c r="K1331" s="52" t="s">
        <v>3037</v>
      </c>
    </row>
    <row r="1332" spans="1:11" ht="45" x14ac:dyDescent="0.25">
      <c r="A1332" s="1"/>
      <c r="B1332" s="52">
        <v>1365</v>
      </c>
      <c r="C1332" s="52" t="s">
        <v>352</v>
      </c>
      <c r="D1332" s="52" t="s">
        <v>108</v>
      </c>
      <c r="E1332" s="36" t="s">
        <v>3043</v>
      </c>
      <c r="F1332" s="61">
        <v>3060</v>
      </c>
      <c r="G1332" s="61" t="s">
        <v>2986</v>
      </c>
      <c r="H1332" s="61" t="s">
        <v>28</v>
      </c>
      <c r="I1332" s="61" t="s">
        <v>24</v>
      </c>
      <c r="J1332" s="52" t="s">
        <v>3</v>
      </c>
      <c r="K1332" s="52" t="s">
        <v>3038</v>
      </c>
    </row>
    <row r="1333" spans="1:11" ht="45" x14ac:dyDescent="0.25">
      <c r="A1333" s="1"/>
      <c r="B1333" s="52">
        <v>1366</v>
      </c>
      <c r="C1333" s="52" t="s">
        <v>109</v>
      </c>
      <c r="D1333" s="52" t="s">
        <v>110</v>
      </c>
      <c r="E1333" s="36" t="s">
        <v>3041</v>
      </c>
      <c r="F1333" s="61">
        <v>9450</v>
      </c>
      <c r="G1333" s="61" t="s">
        <v>2987</v>
      </c>
      <c r="H1333" s="61" t="s">
        <v>28</v>
      </c>
      <c r="I1333" s="61" t="s">
        <v>24</v>
      </c>
      <c r="J1333" s="52" t="s">
        <v>826</v>
      </c>
      <c r="K1333" s="52" t="s">
        <v>3039</v>
      </c>
    </row>
    <row r="1334" spans="1:11" ht="45" x14ac:dyDescent="0.25">
      <c r="A1334" s="1"/>
      <c r="B1334" s="52">
        <v>1367</v>
      </c>
      <c r="C1334" s="52" t="s">
        <v>2957</v>
      </c>
      <c r="D1334" s="52" t="s">
        <v>2958</v>
      </c>
      <c r="E1334" s="36">
        <v>75</v>
      </c>
      <c r="F1334" s="61">
        <v>75</v>
      </c>
      <c r="G1334" s="61" t="s">
        <v>2987</v>
      </c>
      <c r="H1334" s="61" t="s">
        <v>28</v>
      </c>
      <c r="I1334" s="61" t="s">
        <v>24</v>
      </c>
      <c r="J1334" s="52" t="s">
        <v>826</v>
      </c>
      <c r="K1334" s="52" t="s">
        <v>2988</v>
      </c>
    </row>
    <row r="1335" spans="1:11" ht="45" x14ac:dyDescent="0.25">
      <c r="A1335" s="1"/>
      <c r="B1335" s="52">
        <v>1368</v>
      </c>
      <c r="C1335" s="52" t="s">
        <v>2375</v>
      </c>
      <c r="D1335" s="52" t="s">
        <v>2954</v>
      </c>
      <c r="E1335" s="36">
        <v>50</v>
      </c>
      <c r="F1335" s="61">
        <v>50</v>
      </c>
      <c r="G1335" s="61" t="s">
        <v>2987</v>
      </c>
      <c r="H1335" s="61" t="s">
        <v>28</v>
      </c>
      <c r="I1335" s="61" t="s">
        <v>24</v>
      </c>
      <c r="J1335" s="52" t="s">
        <v>826</v>
      </c>
      <c r="K1335" s="52" t="s">
        <v>3025</v>
      </c>
    </row>
    <row r="1336" spans="1:11" ht="45" x14ac:dyDescent="0.25">
      <c r="A1336" s="1"/>
      <c r="B1336" s="52">
        <v>1369</v>
      </c>
      <c r="C1336" s="52" t="s">
        <v>3020</v>
      </c>
      <c r="D1336" s="52" t="s">
        <v>3021</v>
      </c>
      <c r="E1336" s="36">
        <v>400</v>
      </c>
      <c r="F1336" s="61">
        <v>400</v>
      </c>
      <c r="G1336" s="61" t="s">
        <v>3026</v>
      </c>
      <c r="H1336" s="61" t="s">
        <v>28</v>
      </c>
      <c r="I1336" s="61" t="s">
        <v>24</v>
      </c>
      <c r="J1336" s="52" t="s">
        <v>826</v>
      </c>
      <c r="K1336" s="52" t="s">
        <v>3027</v>
      </c>
    </row>
    <row r="1337" spans="1:11" ht="22.5" x14ac:dyDescent="0.25">
      <c r="A1337" s="1"/>
      <c r="B1337" s="52">
        <v>1370</v>
      </c>
      <c r="C1337" s="52" t="s">
        <v>3022</v>
      </c>
      <c r="D1337" s="52" t="s">
        <v>3023</v>
      </c>
      <c r="E1337" s="36">
        <v>4990</v>
      </c>
      <c r="F1337" s="61">
        <v>4990</v>
      </c>
      <c r="G1337" s="61" t="s">
        <v>3028</v>
      </c>
      <c r="H1337" s="61" t="s">
        <v>28</v>
      </c>
      <c r="I1337" s="61" t="s">
        <v>24</v>
      </c>
      <c r="J1337" s="52" t="s">
        <v>3029</v>
      </c>
      <c r="K1337" s="52"/>
    </row>
    <row r="1338" spans="1:11" ht="90" x14ac:dyDescent="0.25">
      <c r="A1338" s="1"/>
      <c r="B1338" s="52">
        <v>1371</v>
      </c>
      <c r="C1338" s="52" t="s">
        <v>3024</v>
      </c>
      <c r="D1338" s="52" t="s">
        <v>338</v>
      </c>
      <c r="E1338" s="36" t="s">
        <v>578</v>
      </c>
      <c r="F1338" s="61">
        <v>1500</v>
      </c>
      <c r="G1338" s="61" t="s">
        <v>3028</v>
      </c>
      <c r="H1338" s="61" t="s">
        <v>28</v>
      </c>
      <c r="I1338" s="61" t="s">
        <v>24</v>
      </c>
      <c r="J1338" s="52" t="s">
        <v>398</v>
      </c>
      <c r="K1338" s="52" t="s">
        <v>3030</v>
      </c>
    </row>
    <row r="1339" spans="1:11" ht="45" x14ac:dyDescent="0.25">
      <c r="A1339" s="1"/>
      <c r="B1339" s="52">
        <v>5</v>
      </c>
      <c r="C1339" s="52" t="s">
        <v>3045</v>
      </c>
      <c r="D1339" s="52" t="s">
        <v>278</v>
      </c>
      <c r="E1339" s="36" t="s">
        <v>3047</v>
      </c>
      <c r="F1339" s="61">
        <v>7400</v>
      </c>
      <c r="G1339" s="61" t="s">
        <v>3028</v>
      </c>
      <c r="H1339" s="61" t="s">
        <v>28</v>
      </c>
      <c r="I1339" s="61" t="s">
        <v>24</v>
      </c>
      <c r="J1339" s="52" t="s">
        <v>3</v>
      </c>
      <c r="K1339" s="52" t="s">
        <v>3046</v>
      </c>
    </row>
    <row r="1340" spans="1:11" x14ac:dyDescent="0.25">
      <c r="A1340" s="1"/>
      <c r="B1340" s="36"/>
      <c r="C1340" s="36"/>
      <c r="D1340" s="36"/>
      <c r="E1340" s="36"/>
      <c r="F1340" s="39"/>
      <c r="G1340" s="40"/>
      <c r="H1340" s="41"/>
      <c r="I1340" s="36"/>
      <c r="J1340" s="36"/>
      <c r="K1340" s="42"/>
    </row>
    <row r="1341" spans="1:11" x14ac:dyDescent="0.25">
      <c r="A1341" s="1"/>
      <c r="B1341" s="36"/>
      <c r="C1341" s="36"/>
      <c r="D1341" s="36"/>
      <c r="E1341" s="36"/>
      <c r="F1341" s="39"/>
      <c r="G1341" s="40"/>
      <c r="H1341" s="41"/>
      <c r="I1341" s="36"/>
      <c r="J1341" s="36"/>
      <c r="K1341" s="42"/>
    </row>
    <row r="1342" spans="1:11" x14ac:dyDescent="0.25">
      <c r="A1342" s="1"/>
      <c r="B1342" s="36"/>
      <c r="C1342" s="36"/>
      <c r="D1342" s="36"/>
      <c r="E1342" s="36"/>
      <c r="F1342" s="39"/>
      <c r="G1342" s="40"/>
      <c r="H1342" s="41"/>
      <c r="I1342" s="36"/>
      <c r="J1342" s="36"/>
      <c r="K1342" s="42"/>
    </row>
    <row r="1343" spans="1:11" x14ac:dyDescent="0.25">
      <c r="A1343" s="1"/>
      <c r="B1343" s="36"/>
      <c r="C1343" s="36"/>
      <c r="D1343" s="36"/>
      <c r="E1343" s="36"/>
      <c r="F1343" s="39"/>
      <c r="G1343" s="40"/>
      <c r="H1343" s="41"/>
      <c r="I1343" s="36"/>
      <c r="J1343" s="36"/>
      <c r="K1343" s="42"/>
    </row>
    <row r="1344" spans="1:11" x14ac:dyDescent="0.25">
      <c r="A1344" s="1"/>
      <c r="B1344" s="36"/>
      <c r="C1344" s="36"/>
      <c r="D1344" s="36"/>
      <c r="E1344" s="36"/>
      <c r="F1344" s="39"/>
      <c r="G1344" s="40"/>
      <c r="H1344" s="41"/>
      <c r="I1344" s="36"/>
      <c r="J1344" s="36"/>
      <c r="K1344" s="42"/>
    </row>
    <row r="1345" spans="1:11" x14ac:dyDescent="0.25">
      <c r="A1345" s="1"/>
      <c r="B1345" s="36"/>
      <c r="C1345" s="36"/>
      <c r="D1345" s="36"/>
      <c r="E1345" s="36"/>
      <c r="F1345" s="39"/>
      <c r="G1345" s="40"/>
      <c r="H1345" s="41"/>
      <c r="I1345" s="36"/>
      <c r="J1345" s="36"/>
      <c r="K1345" s="42"/>
    </row>
    <row r="1346" spans="1:11" x14ac:dyDescent="0.25">
      <c r="A1346" s="1"/>
      <c r="B1346" s="36"/>
      <c r="C1346" s="36"/>
      <c r="D1346" s="36"/>
      <c r="E1346" s="36"/>
      <c r="F1346" s="39"/>
      <c r="G1346" s="40"/>
      <c r="H1346" s="41"/>
      <c r="I1346" s="36"/>
      <c r="J1346" s="36"/>
      <c r="K1346" s="42"/>
    </row>
    <row r="1347" spans="1:11" x14ac:dyDescent="0.25">
      <c r="A1347" s="1"/>
      <c r="B1347" s="36"/>
      <c r="C1347" s="36"/>
      <c r="D1347" s="36"/>
      <c r="E1347" s="36"/>
      <c r="F1347" s="39"/>
      <c r="G1347" s="40"/>
      <c r="H1347" s="41"/>
      <c r="I1347" s="36"/>
      <c r="J1347" s="36"/>
      <c r="K1347" s="42"/>
    </row>
    <row r="1348" spans="1:11" x14ac:dyDescent="0.25">
      <c r="A1348" s="1"/>
      <c r="B1348" s="36"/>
      <c r="C1348" s="36"/>
      <c r="D1348" s="36"/>
      <c r="E1348" s="36"/>
      <c r="F1348" s="39"/>
      <c r="G1348" s="40"/>
      <c r="H1348" s="41"/>
      <c r="I1348" s="36"/>
      <c r="J1348" s="36"/>
      <c r="K1348" s="42"/>
    </row>
    <row r="1349" spans="1:11" x14ac:dyDescent="0.25">
      <c r="A1349" s="1"/>
      <c r="B1349" s="36"/>
      <c r="C1349" s="36"/>
      <c r="D1349" s="36"/>
      <c r="E1349" s="36"/>
      <c r="F1349" s="39"/>
      <c r="G1349" s="40"/>
      <c r="H1349" s="41"/>
      <c r="I1349" s="36"/>
      <c r="J1349" s="36"/>
      <c r="K1349" s="42"/>
    </row>
    <row r="1350" spans="1:11" x14ac:dyDescent="0.25">
      <c r="A1350" s="1"/>
      <c r="B1350" s="36"/>
      <c r="C1350" s="36"/>
      <c r="D1350" s="36"/>
      <c r="E1350" s="36"/>
      <c r="F1350" s="39"/>
      <c r="G1350" s="40"/>
      <c r="H1350" s="41"/>
      <c r="I1350" s="36"/>
      <c r="J1350" s="36"/>
      <c r="K1350" s="42"/>
    </row>
    <row r="1351" spans="1:11" x14ac:dyDescent="0.25">
      <c r="A1351" s="1"/>
      <c r="B1351" s="36"/>
      <c r="C1351" s="36"/>
      <c r="D1351" s="36"/>
      <c r="E1351" s="36"/>
      <c r="F1351" s="39"/>
      <c r="G1351" s="40"/>
      <c r="H1351" s="41"/>
      <c r="I1351" s="36"/>
      <c r="J1351" s="36"/>
      <c r="K1351" s="42"/>
    </row>
    <row r="1352" spans="1:11" x14ac:dyDescent="0.25">
      <c r="A1352" s="1"/>
      <c r="B1352" s="36"/>
      <c r="C1352" s="36"/>
      <c r="D1352" s="36"/>
      <c r="E1352" s="36"/>
      <c r="F1352" s="39"/>
      <c r="G1352" s="40"/>
      <c r="H1352" s="41"/>
      <c r="I1352" s="36"/>
      <c r="J1352" s="36"/>
      <c r="K1352" s="42"/>
    </row>
    <row r="1353" spans="1:11" x14ac:dyDescent="0.25">
      <c r="A1353" s="1"/>
      <c r="B1353" s="36"/>
      <c r="C1353" s="36"/>
      <c r="D1353" s="36"/>
      <c r="E1353" s="36"/>
      <c r="F1353" s="39"/>
      <c r="G1353" s="40"/>
      <c r="H1353" s="41"/>
      <c r="I1353" s="36"/>
      <c r="J1353" s="36"/>
      <c r="K1353" s="42"/>
    </row>
    <row r="1354" spans="1:11" x14ac:dyDescent="0.25">
      <c r="A1354" s="1"/>
      <c r="B1354" s="36"/>
      <c r="C1354" s="36"/>
      <c r="D1354" s="36"/>
      <c r="E1354" s="36"/>
      <c r="F1354" s="39"/>
      <c r="G1354" s="40"/>
      <c r="H1354" s="41"/>
      <c r="I1354" s="36"/>
      <c r="J1354" s="36"/>
      <c r="K1354" s="42"/>
    </row>
    <row r="1355" spans="1:11" x14ac:dyDescent="0.25">
      <c r="A1355" s="1"/>
      <c r="B1355" s="36"/>
      <c r="C1355" s="36"/>
      <c r="D1355" s="36"/>
      <c r="E1355" s="36"/>
      <c r="F1355" s="39"/>
      <c r="G1355" s="40"/>
      <c r="H1355" s="41"/>
      <c r="I1355" s="36"/>
      <c r="J1355" s="36"/>
      <c r="K1355" s="42"/>
    </row>
    <row r="1356" spans="1:11" x14ac:dyDescent="0.25">
      <c r="A1356" s="1"/>
      <c r="B1356" s="36"/>
      <c r="C1356" s="36"/>
      <c r="D1356" s="36"/>
      <c r="E1356" s="36"/>
      <c r="F1356" s="39"/>
      <c r="G1356" s="40"/>
      <c r="H1356" s="41"/>
      <c r="I1356" s="36"/>
      <c r="J1356" s="36"/>
      <c r="K1356" s="42"/>
    </row>
    <row r="1357" spans="1:11" x14ac:dyDescent="0.25">
      <c r="A1357" s="1"/>
      <c r="B1357" s="36"/>
      <c r="C1357" s="36"/>
      <c r="D1357" s="36"/>
      <c r="E1357" s="36"/>
      <c r="F1357" s="39"/>
      <c r="G1357" s="40"/>
      <c r="H1357" s="41"/>
      <c r="I1357" s="36"/>
      <c r="J1357" s="36"/>
      <c r="K1357" s="42"/>
    </row>
    <row r="1358" spans="1:11" x14ac:dyDescent="0.25">
      <c r="A1358" s="1"/>
      <c r="B1358" s="36"/>
      <c r="C1358" s="36"/>
      <c r="D1358" s="36"/>
      <c r="E1358" s="36"/>
      <c r="F1358" s="39"/>
      <c r="G1358" s="40"/>
      <c r="H1358" s="41"/>
      <c r="I1358" s="36"/>
      <c r="J1358" s="36"/>
      <c r="K1358" s="42"/>
    </row>
    <row r="1359" spans="1:11" x14ac:dyDescent="0.25">
      <c r="A1359" s="1"/>
      <c r="B1359" s="36"/>
      <c r="C1359" s="36"/>
      <c r="D1359" s="36"/>
      <c r="E1359" s="36"/>
      <c r="F1359" s="39"/>
      <c r="G1359" s="40"/>
      <c r="H1359" s="41"/>
      <c r="I1359" s="36"/>
      <c r="J1359" s="36"/>
      <c r="K1359" s="42"/>
    </row>
    <row r="1360" spans="1:11" x14ac:dyDescent="0.25">
      <c r="A1360" s="1"/>
      <c r="B1360" s="36"/>
      <c r="C1360" s="36"/>
      <c r="D1360" s="36"/>
      <c r="E1360" s="36"/>
      <c r="F1360" s="39"/>
      <c r="G1360" s="40"/>
      <c r="H1360" s="41"/>
      <c r="I1360" s="36"/>
      <c r="J1360" s="36"/>
      <c r="K1360" s="42"/>
    </row>
    <row r="1361" spans="1:11" x14ac:dyDescent="0.25">
      <c r="A1361" s="1"/>
      <c r="B1361" s="36"/>
      <c r="C1361" s="36"/>
      <c r="D1361" s="36"/>
      <c r="E1361" s="36"/>
      <c r="F1361" s="39"/>
      <c r="G1361" s="40"/>
      <c r="H1361" s="41"/>
      <c r="I1361" s="36"/>
      <c r="J1361" s="36"/>
      <c r="K1361" s="42"/>
    </row>
    <row r="1362" spans="1:11" x14ac:dyDescent="0.25">
      <c r="A1362" s="1"/>
      <c r="B1362" s="36"/>
      <c r="C1362" s="36"/>
      <c r="D1362" s="36"/>
      <c r="E1362" s="36"/>
      <c r="F1362" s="39"/>
      <c r="G1362" s="40"/>
      <c r="H1362" s="41"/>
      <c r="I1362" s="36"/>
      <c r="J1362" s="36"/>
      <c r="K1362" s="42"/>
    </row>
    <row r="1363" spans="1:11" x14ac:dyDescent="0.25">
      <c r="A1363" s="1"/>
      <c r="B1363" s="36"/>
      <c r="C1363" s="36"/>
      <c r="D1363" s="36"/>
      <c r="E1363" s="36"/>
      <c r="F1363" s="39"/>
      <c r="G1363" s="40"/>
      <c r="H1363" s="41"/>
      <c r="I1363" s="36"/>
      <c r="J1363" s="36"/>
      <c r="K1363" s="42"/>
    </row>
    <row r="1364" spans="1:11" x14ac:dyDescent="0.25">
      <c r="A1364" s="1"/>
      <c r="B1364" s="36"/>
      <c r="C1364" s="36"/>
      <c r="D1364" s="36"/>
      <c r="E1364" s="36"/>
      <c r="F1364" s="39"/>
      <c r="G1364" s="40"/>
      <c r="H1364" s="41"/>
      <c r="I1364" s="36"/>
      <c r="J1364" s="36"/>
      <c r="K1364" s="42"/>
    </row>
    <row r="1365" spans="1:11" x14ac:dyDescent="0.25">
      <c r="A1365" s="1"/>
      <c r="E1365" s="11"/>
    </row>
    <row r="1366" spans="1:11" x14ac:dyDescent="0.25">
      <c r="A1366" s="1"/>
      <c r="E1366" s="11"/>
    </row>
    <row r="1367" spans="1:11" x14ac:dyDescent="0.25">
      <c r="A1367" s="1"/>
      <c r="E1367" s="11"/>
    </row>
    <row r="1368" spans="1:11" x14ac:dyDescent="0.25">
      <c r="A1368" s="1"/>
      <c r="E1368" s="11"/>
    </row>
    <row r="1369" spans="1:11" x14ac:dyDescent="0.25">
      <c r="A1369" s="1"/>
      <c r="E1369" s="11"/>
    </row>
    <row r="1370" spans="1:11" x14ac:dyDescent="0.25">
      <c r="A1370" s="1"/>
      <c r="E1370" s="11"/>
    </row>
    <row r="1371" spans="1:11" x14ac:dyDescent="0.25">
      <c r="A1371" s="1"/>
      <c r="E1371" s="11"/>
    </row>
    <row r="1372" spans="1:11" x14ac:dyDescent="0.25">
      <c r="A1372" s="1"/>
      <c r="E1372" s="11"/>
    </row>
    <row r="1373" spans="1:11" x14ac:dyDescent="0.25">
      <c r="A1373" s="1"/>
      <c r="E1373" s="11"/>
    </row>
    <row r="1374" spans="1:11" x14ac:dyDescent="0.25">
      <c r="A1374" s="1"/>
      <c r="E1374" s="11"/>
    </row>
    <row r="1375" spans="1:11" x14ac:dyDescent="0.25">
      <c r="A1375" s="1"/>
      <c r="E1375" s="11"/>
    </row>
    <row r="1376" spans="1:11" x14ac:dyDescent="0.25">
      <c r="A1376" s="1"/>
      <c r="E1376" s="11"/>
    </row>
    <row r="1377" spans="1:5" x14ac:dyDescent="0.25">
      <c r="A1377" s="1"/>
      <c r="E1377" s="11"/>
    </row>
    <row r="1378" spans="1:5" x14ac:dyDescent="0.25">
      <c r="A1378" s="1"/>
      <c r="E1378" s="11"/>
    </row>
    <row r="1379" spans="1:5" x14ac:dyDescent="0.25">
      <c r="A1379" s="1"/>
      <c r="E1379" s="11"/>
    </row>
    <row r="1380" spans="1:5" x14ac:dyDescent="0.25">
      <c r="A1380" s="1"/>
      <c r="E1380" s="11"/>
    </row>
    <row r="1381" spans="1:5" x14ac:dyDescent="0.25">
      <c r="A1381" s="1"/>
      <c r="E1381" s="11"/>
    </row>
    <row r="1382" spans="1:5" x14ac:dyDescent="0.25">
      <c r="A1382" s="1"/>
      <c r="E1382" s="11"/>
    </row>
    <row r="1383" spans="1:5" x14ac:dyDescent="0.25">
      <c r="A1383" s="1"/>
      <c r="E1383" s="11"/>
    </row>
    <row r="1384" spans="1:5" x14ac:dyDescent="0.25">
      <c r="A1384" s="1"/>
      <c r="E1384" s="11"/>
    </row>
    <row r="1385" spans="1:5" x14ac:dyDescent="0.25">
      <c r="A1385" s="1"/>
      <c r="E1385" s="11"/>
    </row>
    <row r="1386" spans="1:5" x14ac:dyDescent="0.25">
      <c r="A1386" s="1"/>
      <c r="E1386" s="11"/>
    </row>
    <row r="1387" spans="1:5" x14ac:dyDescent="0.25">
      <c r="A1387" s="1"/>
      <c r="E1387" s="11"/>
    </row>
    <row r="1388" spans="1:5" x14ac:dyDescent="0.25">
      <c r="A1388" s="1"/>
      <c r="E1388" s="11"/>
    </row>
    <row r="1389" spans="1:5" x14ac:dyDescent="0.25">
      <c r="A1389" s="1"/>
      <c r="E1389" s="11"/>
    </row>
    <row r="1390" spans="1:5" x14ac:dyDescent="0.25">
      <c r="A1390" s="1"/>
      <c r="E1390" s="11"/>
    </row>
    <row r="1391" spans="1:5" x14ac:dyDescent="0.25">
      <c r="A1391" s="1"/>
      <c r="E1391" s="11"/>
    </row>
    <row r="1392" spans="1:5" x14ac:dyDescent="0.25">
      <c r="A1392" s="1"/>
      <c r="E1392" s="11"/>
    </row>
    <row r="1393" spans="1:5" x14ac:dyDescent="0.25">
      <c r="A1393" s="1"/>
      <c r="E1393" s="11"/>
    </row>
    <row r="1394" spans="1:5" x14ac:dyDescent="0.25">
      <c r="A1394" s="1"/>
      <c r="E1394" s="11"/>
    </row>
    <row r="1395" spans="1:5" x14ac:dyDescent="0.25">
      <c r="A1395" s="1"/>
      <c r="E1395" s="11"/>
    </row>
    <row r="1396" spans="1:5" x14ac:dyDescent="0.25">
      <c r="A1396" s="1"/>
      <c r="E1396" s="11"/>
    </row>
    <row r="1397" spans="1:5" x14ac:dyDescent="0.25">
      <c r="A1397" s="1"/>
      <c r="E1397" s="11"/>
    </row>
    <row r="1398" spans="1:5" x14ac:dyDescent="0.25">
      <c r="A1398" s="1"/>
      <c r="E1398" s="11"/>
    </row>
  </sheetData>
  <mergeCells count="2">
    <mergeCell ref="B1:I1"/>
    <mergeCell ref="G2:H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ხელშეკრულებები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2019-01-10T11:02:16Z</dcterms:modified>
</cp:coreProperties>
</file>